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je\Budgetopfølgning incl. spec\"/>
    </mc:Choice>
  </mc:AlternateContent>
  <bookViews>
    <workbookView xWindow="1185" yWindow="-135" windowWidth="18675" windowHeight="11295" tabRatio="220" firstSheet="9" activeTab="9"/>
  </bookViews>
  <sheets>
    <sheet name="bje 20.10.09" sheetId="10" state="hidden" r:id="rId1"/>
    <sheet name="bje 21-10-09" sheetId="11" state="hidden" r:id="rId2"/>
    <sheet name="bje 22.10.09" sheetId="12" state="hidden" r:id="rId3"/>
    <sheet name="4. kvt 2010" sheetId="18" state="hidden" r:id="rId4"/>
    <sheet name="2010" sheetId="19" state="hidden" r:id="rId5"/>
    <sheet name="Ark2" sheetId="2" state="hidden" r:id="rId6"/>
    <sheet name="2.kvt.2012 " sheetId="36" state="hidden" r:id="rId7"/>
    <sheet name="3.kvt. 2012  " sheetId="41" state="hidden" r:id="rId8"/>
    <sheet name="Ark5" sheetId="52" r:id="rId9"/>
    <sheet name="2.KVT 2016 incl. ex freder" sheetId="49" r:id="rId10"/>
    <sheet name="Ark1" sheetId="42" r:id="rId11"/>
  </sheets>
  <definedNames>
    <definedName name="_xlnm.Print_Area" localSheetId="9">'2.KVT 2016 incl. ex freder'!$A$1:$Y$195</definedName>
    <definedName name="_xlnm.Print_Area" localSheetId="6">'2.kvt.2012 '!$A$3:$Y$157</definedName>
    <definedName name="_xlnm.Print_Area" localSheetId="4">'2010'!$A$3:$Y$145</definedName>
    <definedName name="_xlnm.Print_Area" localSheetId="7">'3.kvt. 2012  '!$A$3:$Y$157</definedName>
    <definedName name="_xlnm.Print_Area" localSheetId="3">'4. kvt 2010'!$A$3:$Y$145</definedName>
    <definedName name="_xlnm.Print_Area" localSheetId="0">'bje 20.10.09'!$A$3:$Y$121</definedName>
    <definedName name="_xlnm.Print_Area" localSheetId="1">'bje 21-10-09'!$A$3:$Y$121</definedName>
    <definedName name="_xlnm.Print_Area" localSheetId="2">'bje 22.10.09'!$A$3:$Y$121</definedName>
  </definedNames>
  <calcPr calcId="152511"/>
</workbook>
</file>

<file path=xl/calcChain.xml><?xml version="1.0" encoding="utf-8"?>
<calcChain xmlns="http://schemas.openxmlformats.org/spreadsheetml/2006/main">
  <c r="O88" i="49" l="1"/>
  <c r="O86" i="49"/>
  <c r="O87" i="49"/>
  <c r="J181" i="49"/>
  <c r="J177" i="49"/>
  <c r="X177" i="49"/>
  <c r="X148" i="49"/>
  <c r="X147" i="49" s="1"/>
  <c r="X150" i="49"/>
  <c r="J102" i="49"/>
  <c r="X13" i="49"/>
  <c r="X136" i="49"/>
  <c r="X163" i="49"/>
  <c r="X171" i="49"/>
  <c r="Q148" i="49"/>
  <c r="J163" i="49"/>
  <c r="Q163" i="49"/>
  <c r="Q86" i="49"/>
  <c r="J136" i="49"/>
  <c r="J121" i="49"/>
  <c r="J122" i="49"/>
  <c r="J158" i="49"/>
  <c r="J155" i="49" s="1"/>
  <c r="J147" i="49"/>
  <c r="Q155" i="49"/>
  <c r="J108" i="49"/>
  <c r="J114" i="49"/>
  <c r="J86" i="49"/>
  <c r="J81" i="49"/>
  <c r="J77" i="49"/>
  <c r="J63" i="49"/>
  <c r="J57" i="49"/>
  <c r="K45" i="49"/>
  <c r="J46" i="49"/>
  <c r="J47" i="49"/>
  <c r="Q13" i="49"/>
  <c r="Q36" i="49"/>
  <c r="E137" i="49"/>
  <c r="E89" i="49"/>
  <c r="E103" i="49"/>
  <c r="E47" i="49"/>
  <c r="E90" i="49"/>
  <c r="E88" i="49"/>
  <c r="E82" i="49"/>
  <c r="Q45" i="49" l="1"/>
  <c r="J45" i="49"/>
  <c r="Q180" i="49"/>
  <c r="Q179" i="49"/>
  <c r="Q167" i="49"/>
  <c r="Q105" i="49"/>
  <c r="Q108" i="49"/>
  <c r="Q112" i="49"/>
  <c r="Q81" i="49"/>
  <c r="Q82" i="49"/>
  <c r="E161" i="49" l="1"/>
  <c r="E159" i="49"/>
  <c r="O181" i="49"/>
  <c r="O177" i="49"/>
  <c r="O172" i="49"/>
  <c r="O171" i="49"/>
  <c r="O168" i="49"/>
  <c r="O165" i="49"/>
  <c r="O163" i="49"/>
  <c r="O162" i="49"/>
  <c r="O161" i="49"/>
  <c r="O156" i="49"/>
  <c r="O155" i="49"/>
  <c r="O154" i="49"/>
  <c r="O147" i="49"/>
  <c r="O143" i="49"/>
  <c r="O136" i="49"/>
  <c r="O121" i="49"/>
  <c r="O110" i="49"/>
  <c r="O111" i="49"/>
  <c r="O109" i="49"/>
  <c r="O108" i="49"/>
  <c r="O90" i="49"/>
  <c r="O63" i="49"/>
  <c r="O48" i="49"/>
  <c r="O46" i="49"/>
  <c r="O45" i="49"/>
  <c r="O36" i="49"/>
  <c r="O13" i="49"/>
  <c r="F181" i="49"/>
  <c r="F177" i="49"/>
  <c r="F172" i="49"/>
  <c r="F171" i="49"/>
  <c r="F165" i="49"/>
  <c r="F166" i="49"/>
  <c r="F167" i="49"/>
  <c r="F168" i="49"/>
  <c r="F169" i="49"/>
  <c r="F164" i="49"/>
  <c r="F163" i="49"/>
  <c r="F160" i="49"/>
  <c r="F161" i="49"/>
  <c r="F162" i="49"/>
  <c r="F159" i="49"/>
  <c r="F158" i="49"/>
  <c r="F156" i="49"/>
  <c r="F155" i="49"/>
  <c r="F152" i="49"/>
  <c r="F153" i="49"/>
  <c r="F154" i="49"/>
  <c r="F151" i="49"/>
  <c r="F149" i="49"/>
  <c r="F150" i="49"/>
  <c r="F148" i="49"/>
  <c r="F147" i="49"/>
  <c r="F124" i="49"/>
  <c r="F125" i="49"/>
  <c r="F126" i="49"/>
  <c r="F127" i="49"/>
  <c r="F128" i="49"/>
  <c r="F129" i="49"/>
  <c r="F130" i="49"/>
  <c r="F131" i="49"/>
  <c r="F132" i="49"/>
  <c r="F133" i="49"/>
  <c r="F134" i="49"/>
  <c r="F135" i="49"/>
  <c r="F136" i="49"/>
  <c r="F137" i="49"/>
  <c r="F138" i="49"/>
  <c r="F139" i="49"/>
  <c r="F140" i="49"/>
  <c r="F141" i="49"/>
  <c r="F142" i="49"/>
  <c r="F143" i="49"/>
  <c r="F144" i="49"/>
  <c r="F123" i="49"/>
  <c r="F122" i="49"/>
  <c r="F121" i="49"/>
  <c r="F79" i="49"/>
  <c r="F80" i="49"/>
  <c r="F81" i="49"/>
  <c r="F82" i="49"/>
  <c r="F83" i="49"/>
  <c r="F84" i="49"/>
  <c r="F85" i="49"/>
  <c r="F86" i="49"/>
  <c r="F87" i="49"/>
  <c r="F88" i="49"/>
  <c r="F89" i="49"/>
  <c r="F90" i="49"/>
  <c r="F91" i="49"/>
  <c r="F92" i="49"/>
  <c r="F93" i="49"/>
  <c r="F94" i="49"/>
  <c r="F95" i="49"/>
  <c r="F96" i="49"/>
  <c r="F97" i="49"/>
  <c r="F98" i="49"/>
  <c r="F99" i="49"/>
  <c r="F100" i="49"/>
  <c r="F101" i="49"/>
  <c r="F102" i="49"/>
  <c r="F103" i="49"/>
  <c r="F104" i="49"/>
  <c r="F105" i="49"/>
  <c r="F106" i="49"/>
  <c r="F107" i="49"/>
  <c r="F108" i="49"/>
  <c r="F109" i="49"/>
  <c r="F110" i="49"/>
  <c r="F111" i="49"/>
  <c r="F112" i="49"/>
  <c r="F113" i="49"/>
  <c r="F114" i="49"/>
  <c r="F115" i="49"/>
  <c r="F116" i="49"/>
  <c r="F117" i="49"/>
  <c r="F118" i="49"/>
  <c r="F78" i="49"/>
  <c r="F77" i="49"/>
  <c r="F70" i="49"/>
  <c r="F69" i="49"/>
  <c r="F64" i="49"/>
  <c r="F63" i="49"/>
  <c r="F59" i="49"/>
  <c r="F58" i="49"/>
  <c r="F57" i="49"/>
  <c r="F48" i="49"/>
  <c r="F47" i="49"/>
  <c r="F46" i="49"/>
  <c r="F45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30" i="49"/>
  <c r="F31" i="49"/>
  <c r="F32" i="49"/>
  <c r="F33" i="49"/>
  <c r="F34" i="49"/>
  <c r="F35" i="49"/>
  <c r="F36" i="49"/>
  <c r="F37" i="49"/>
  <c r="F38" i="49"/>
  <c r="F39" i="49"/>
  <c r="F14" i="49"/>
  <c r="F13" i="49"/>
  <c r="E151" i="49"/>
  <c r="E123" i="49"/>
  <c r="E148" i="49"/>
  <c r="E118" i="49"/>
  <c r="E112" i="49"/>
  <c r="E115" i="49"/>
  <c r="E79" i="49"/>
  <c r="E70" i="49"/>
  <c r="E59" i="49"/>
  <c r="E91" i="49"/>
  <c r="E113" i="49"/>
  <c r="E48" i="49"/>
  <c r="E36" i="49"/>
  <c r="E30" i="49"/>
  <c r="E14" i="49"/>
  <c r="D180" i="49"/>
  <c r="E126" i="49"/>
  <c r="E162" i="49"/>
  <c r="E164" i="49"/>
  <c r="E168" i="49"/>
  <c r="E13" i="49"/>
  <c r="E102" i="49"/>
  <c r="E86" i="49"/>
  <c r="E108" i="49"/>
  <c r="E122" i="49"/>
  <c r="E136" i="49"/>
  <c r="E158" i="49"/>
  <c r="E167" i="49"/>
  <c r="E160" i="49"/>
  <c r="E156" i="49"/>
  <c r="E125" i="49"/>
  <c r="E105" i="49"/>
  <c r="T162" i="49"/>
  <c r="T161" i="49"/>
  <c r="T88" i="49"/>
  <c r="T108" i="49"/>
  <c r="S108" i="49"/>
  <c r="T154" i="49"/>
  <c r="T148" i="49"/>
  <c r="E121" i="49" l="1"/>
  <c r="K195" i="49"/>
  <c r="Q46" i="49" l="1"/>
  <c r="Q147" i="49" l="1"/>
  <c r="Q136" i="49"/>
  <c r="Q122" i="49"/>
  <c r="Q121" i="49"/>
  <c r="Y105" i="49" l="1"/>
  <c r="W109" i="49"/>
  <c r="X109" i="49"/>
  <c r="Y113" i="49"/>
  <c r="X113" i="49"/>
  <c r="W113" i="49"/>
  <c r="R113" i="49"/>
  <c r="M113" i="49"/>
  <c r="M107" i="49"/>
  <c r="M108" i="49"/>
  <c r="Y107" i="49"/>
  <c r="X107" i="49"/>
  <c r="W107" i="49"/>
  <c r="R107" i="49"/>
  <c r="O107" i="49" s="1"/>
  <c r="R108" i="49"/>
  <c r="B181" i="49"/>
  <c r="Y195" i="49"/>
  <c r="R156" i="49"/>
  <c r="R157" i="49"/>
  <c r="R158" i="49"/>
  <c r="R159" i="49"/>
  <c r="R160" i="49"/>
  <c r="O160" i="49" s="1"/>
  <c r="L14" i="49"/>
  <c r="B14" i="49"/>
  <c r="F180" i="49"/>
  <c r="R161" i="49"/>
  <c r="R162" i="49"/>
  <c r="Q14" i="49"/>
  <c r="Q15" i="49"/>
  <c r="Q16" i="49"/>
  <c r="Q17" i="49"/>
  <c r="Q18" i="49"/>
  <c r="Q19" i="49"/>
  <c r="Q20" i="49"/>
  <c r="Q21" i="49"/>
  <c r="Q22" i="49"/>
  <c r="Q23" i="49"/>
  <c r="Q24" i="49"/>
  <c r="Q25" i="49"/>
  <c r="Q26" i="49"/>
  <c r="Q27" i="49"/>
  <c r="Q28" i="49"/>
  <c r="Q29" i="49"/>
  <c r="Q30" i="49"/>
  <c r="Q31" i="49"/>
  <c r="Q32" i="49"/>
  <c r="Q33" i="49"/>
  <c r="Q34" i="49"/>
  <c r="Q35" i="49"/>
  <c r="Q37" i="49"/>
  <c r="Q38" i="49"/>
  <c r="Q39" i="49"/>
  <c r="Q40" i="49"/>
  <c r="Q41" i="49"/>
  <c r="Q42" i="49"/>
  <c r="Q43" i="49"/>
  <c r="Q44" i="49"/>
  <c r="Q48" i="49"/>
  <c r="Q49" i="49"/>
  <c r="Q50" i="49"/>
  <c r="Q51" i="49"/>
  <c r="Q52" i="49"/>
  <c r="Q53" i="49"/>
  <c r="Q54" i="49"/>
  <c r="Q55" i="49"/>
  <c r="Q56" i="49"/>
  <c r="Q57" i="49"/>
  <c r="Q58" i="49"/>
  <c r="Q59" i="49"/>
  <c r="Q60" i="49"/>
  <c r="Q61" i="49"/>
  <c r="Q62" i="49"/>
  <c r="Q65" i="49"/>
  <c r="Q66" i="49"/>
  <c r="Q67" i="49"/>
  <c r="Q68" i="49"/>
  <c r="Q69" i="49"/>
  <c r="Q70" i="49"/>
  <c r="Q71" i="49"/>
  <c r="Q72" i="49"/>
  <c r="Q73" i="49"/>
  <c r="Q74" i="49"/>
  <c r="Q75" i="49"/>
  <c r="Q76" i="49"/>
  <c r="Q77" i="49"/>
  <c r="Q78" i="49"/>
  <c r="Q79" i="49"/>
  <c r="Q80" i="49"/>
  <c r="Q83" i="49"/>
  <c r="Q84" i="49"/>
  <c r="Q85" i="49"/>
  <c r="Q87" i="49"/>
  <c r="Q89" i="49"/>
  <c r="Q90" i="49"/>
  <c r="Q91" i="49"/>
  <c r="Q92" i="49"/>
  <c r="Q93" i="49"/>
  <c r="Q94" i="49"/>
  <c r="Q95" i="49"/>
  <c r="Q96" i="49"/>
  <c r="Q97" i="49"/>
  <c r="Q98" i="49"/>
  <c r="Q99" i="49"/>
  <c r="Q100" i="49"/>
  <c r="Q101" i="49"/>
  <c r="Q103" i="49"/>
  <c r="Q104" i="49"/>
  <c r="Q106" i="49"/>
  <c r="Q110" i="49"/>
  <c r="Q111" i="49"/>
  <c r="Q113" i="49"/>
  <c r="Q114" i="49"/>
  <c r="Q115" i="49"/>
  <c r="Q116" i="49"/>
  <c r="Q117" i="49"/>
  <c r="Q118" i="49"/>
  <c r="Q119" i="49"/>
  <c r="Q120" i="49"/>
  <c r="Q123" i="49"/>
  <c r="Q124" i="49"/>
  <c r="Q125" i="49"/>
  <c r="Q126" i="49"/>
  <c r="Q127" i="49"/>
  <c r="Q128" i="49"/>
  <c r="Q129" i="49"/>
  <c r="Q130" i="49"/>
  <c r="Q131" i="49"/>
  <c r="Q132" i="49"/>
  <c r="Q133" i="49"/>
  <c r="Q134" i="49"/>
  <c r="Q135" i="49"/>
  <c r="Q138" i="49"/>
  <c r="Q139" i="49"/>
  <c r="Q140" i="49"/>
  <c r="Q141" i="49"/>
  <c r="Q142" i="49"/>
  <c r="Q143" i="49"/>
  <c r="Q144" i="49"/>
  <c r="Q145" i="49"/>
  <c r="Q146" i="49"/>
  <c r="Q149" i="49"/>
  <c r="Q150" i="49"/>
  <c r="Q151" i="49"/>
  <c r="Q152" i="49"/>
  <c r="Q153" i="49"/>
  <c r="Q157" i="49"/>
  <c r="Q158" i="49"/>
  <c r="Q159" i="49"/>
  <c r="Q160" i="49"/>
  <c r="Q166" i="49"/>
  <c r="Q169" i="49"/>
  <c r="Q170" i="49"/>
  <c r="Q171" i="49"/>
  <c r="Q172" i="49"/>
  <c r="Q173" i="49"/>
  <c r="Q174" i="49"/>
  <c r="Q175" i="49"/>
  <c r="Q176" i="49"/>
  <c r="Q182" i="49"/>
  <c r="Q183" i="49"/>
  <c r="Q184" i="49"/>
  <c r="Q185" i="49"/>
  <c r="Q186" i="49"/>
  <c r="Q187" i="49"/>
  <c r="Q194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7" i="49"/>
  <c r="O38" i="49"/>
  <c r="O39" i="49"/>
  <c r="O40" i="49"/>
  <c r="O41" i="49"/>
  <c r="O42" i="49"/>
  <c r="O43" i="49"/>
  <c r="O44" i="49"/>
  <c r="O47" i="49"/>
  <c r="O49" i="49"/>
  <c r="O50" i="49"/>
  <c r="O51" i="49"/>
  <c r="O52" i="49"/>
  <c r="O53" i="49"/>
  <c r="O54" i="49"/>
  <c r="O55" i="49"/>
  <c r="O56" i="49"/>
  <c r="O57" i="49"/>
  <c r="O58" i="49"/>
  <c r="O59" i="49"/>
  <c r="O60" i="49"/>
  <c r="O61" i="49"/>
  <c r="O62" i="49"/>
  <c r="O64" i="49"/>
  <c r="O65" i="49"/>
  <c r="O66" i="49"/>
  <c r="O67" i="49"/>
  <c r="O68" i="49"/>
  <c r="O69" i="49"/>
  <c r="O70" i="49"/>
  <c r="O71" i="49"/>
  <c r="O72" i="49"/>
  <c r="O73" i="49"/>
  <c r="O74" i="49"/>
  <c r="O75" i="49"/>
  <c r="O76" i="49"/>
  <c r="O77" i="49"/>
  <c r="O78" i="49"/>
  <c r="O79" i="49"/>
  <c r="O80" i="49"/>
  <c r="O81" i="49"/>
  <c r="O82" i="49"/>
  <c r="O83" i="49"/>
  <c r="O84" i="49"/>
  <c r="O85" i="49"/>
  <c r="O89" i="49"/>
  <c r="O91" i="49"/>
  <c r="O92" i="49"/>
  <c r="O93" i="49"/>
  <c r="O94" i="49"/>
  <c r="O95" i="49"/>
  <c r="O96" i="49"/>
  <c r="O97" i="49"/>
  <c r="O98" i="49"/>
  <c r="O99" i="49"/>
  <c r="O100" i="49"/>
  <c r="O101" i="49"/>
  <c r="O102" i="49"/>
  <c r="O103" i="49"/>
  <c r="O104" i="49"/>
  <c r="O105" i="49"/>
  <c r="O106" i="49"/>
  <c r="W108" i="49"/>
  <c r="O112" i="49"/>
  <c r="O113" i="49"/>
  <c r="O114" i="49"/>
  <c r="O115" i="49"/>
  <c r="O116" i="49"/>
  <c r="O117" i="49"/>
  <c r="O118" i="49"/>
  <c r="O119" i="49"/>
  <c r="O120" i="49"/>
  <c r="O122" i="49"/>
  <c r="O123" i="49"/>
  <c r="O124" i="49"/>
  <c r="O125" i="49"/>
  <c r="O126" i="49"/>
  <c r="O127" i="49"/>
  <c r="O128" i="49"/>
  <c r="O129" i="49"/>
  <c r="O130" i="49"/>
  <c r="O131" i="49"/>
  <c r="O132" i="49"/>
  <c r="O133" i="49"/>
  <c r="O134" i="49"/>
  <c r="O135" i="49"/>
  <c r="O137" i="49"/>
  <c r="O138" i="49"/>
  <c r="O139" i="49"/>
  <c r="O140" i="49"/>
  <c r="O141" i="49"/>
  <c r="O142" i="49"/>
  <c r="O144" i="49"/>
  <c r="O145" i="49"/>
  <c r="O146" i="49"/>
  <c r="O148" i="49"/>
  <c r="O149" i="49"/>
  <c r="O150" i="49"/>
  <c r="O151" i="49"/>
  <c r="O152" i="49"/>
  <c r="O153" i="49"/>
  <c r="O157" i="49"/>
  <c r="O158" i="49"/>
  <c r="O159" i="49"/>
  <c r="O166" i="49"/>
  <c r="O167" i="49"/>
  <c r="O169" i="49"/>
  <c r="O170" i="49"/>
  <c r="O173" i="49"/>
  <c r="O174" i="49"/>
  <c r="O175" i="49"/>
  <c r="O176" i="49"/>
  <c r="O179" i="49"/>
  <c r="O180" i="49"/>
  <c r="O182" i="49"/>
  <c r="O183" i="49"/>
  <c r="O184" i="49"/>
  <c r="O185" i="49"/>
  <c r="O186" i="49"/>
  <c r="O187" i="49"/>
  <c r="O194" i="49"/>
  <c r="F119" i="49"/>
  <c r="F120" i="49"/>
  <c r="F145" i="49"/>
  <c r="F146" i="49"/>
  <c r="F157" i="49"/>
  <c r="F170" i="49"/>
  <c r="F173" i="49"/>
  <c r="F174" i="49"/>
  <c r="F175" i="49"/>
  <c r="F176" i="49"/>
  <c r="J142" i="49"/>
  <c r="J143" i="49"/>
  <c r="J144" i="49"/>
  <c r="J145" i="49"/>
  <c r="J146" i="49"/>
  <c r="J150" i="49"/>
  <c r="J151" i="49"/>
  <c r="J152" i="49"/>
  <c r="J153" i="49"/>
  <c r="J156" i="49"/>
  <c r="J157" i="49"/>
  <c r="J161" i="49"/>
  <c r="J162" i="49"/>
  <c r="J164" i="49"/>
  <c r="J165" i="49"/>
  <c r="J166" i="49"/>
  <c r="J169" i="49"/>
  <c r="J170" i="49"/>
  <c r="J171" i="49"/>
  <c r="J172" i="49"/>
  <c r="J173" i="49"/>
  <c r="J174" i="49"/>
  <c r="J175" i="49"/>
  <c r="J176" i="49"/>
  <c r="J78" i="49"/>
  <c r="J80" i="49"/>
  <c r="J83" i="49"/>
  <c r="J84" i="49"/>
  <c r="J85" i="49"/>
  <c r="J87" i="49"/>
  <c r="J90" i="49"/>
  <c r="J92" i="49"/>
  <c r="J93" i="49"/>
  <c r="J94" i="49"/>
  <c r="J95" i="49"/>
  <c r="J96" i="49"/>
  <c r="J97" i="49"/>
  <c r="J98" i="49"/>
  <c r="J99" i="49"/>
  <c r="J100" i="49"/>
  <c r="J101" i="49"/>
  <c r="J104" i="49"/>
  <c r="J105" i="49"/>
  <c r="J107" i="49"/>
  <c r="J109" i="49"/>
  <c r="J110" i="49"/>
  <c r="J111" i="49"/>
  <c r="J113" i="49"/>
  <c r="J116" i="49"/>
  <c r="J117" i="49"/>
  <c r="J118" i="49"/>
  <c r="J119" i="49"/>
  <c r="J120" i="49"/>
  <c r="J124" i="49"/>
  <c r="J125" i="49"/>
  <c r="J127" i="49"/>
  <c r="J128" i="49"/>
  <c r="J129" i="49"/>
  <c r="J130" i="49"/>
  <c r="J131" i="49"/>
  <c r="J132" i="49"/>
  <c r="J133" i="49"/>
  <c r="J134" i="49"/>
  <c r="J135" i="49"/>
  <c r="J137" i="49"/>
  <c r="J138" i="49"/>
  <c r="J139" i="49"/>
  <c r="J140" i="49"/>
  <c r="J141" i="49"/>
  <c r="J15" i="49"/>
  <c r="J16" i="49"/>
  <c r="J17" i="49"/>
  <c r="J18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8" i="49"/>
  <c r="J49" i="49"/>
  <c r="J50" i="49"/>
  <c r="J51" i="49"/>
  <c r="J52" i="49"/>
  <c r="J53" i="49"/>
  <c r="J54" i="49"/>
  <c r="J55" i="49"/>
  <c r="J56" i="49"/>
  <c r="J59" i="49"/>
  <c r="J60" i="49"/>
  <c r="J61" i="49"/>
  <c r="J62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F49" i="49"/>
  <c r="F50" i="49"/>
  <c r="F51" i="49"/>
  <c r="F52" i="49"/>
  <c r="F53" i="49"/>
  <c r="F54" i="49"/>
  <c r="F55" i="49"/>
  <c r="F56" i="49"/>
  <c r="F60" i="49"/>
  <c r="F61" i="49"/>
  <c r="F62" i="49"/>
  <c r="F65" i="49"/>
  <c r="F66" i="49"/>
  <c r="F67" i="49"/>
  <c r="F68" i="49"/>
  <c r="F71" i="49"/>
  <c r="F72" i="49"/>
  <c r="F73" i="49"/>
  <c r="F74" i="49"/>
  <c r="F75" i="49"/>
  <c r="F76" i="49"/>
  <c r="E150" i="49"/>
  <c r="E147" i="49" s="1"/>
  <c r="E46" i="49"/>
  <c r="E163" i="49"/>
  <c r="Q177" i="49" l="1"/>
  <c r="Q181" i="49" s="1"/>
  <c r="X108" i="49"/>
  <c r="Y108" i="49"/>
  <c r="Q107" i="49"/>
  <c r="D179" i="49"/>
  <c r="E179" i="49"/>
  <c r="F179" i="49"/>
  <c r="K193" i="49" l="1"/>
  <c r="Y193" i="49" s="1"/>
  <c r="U191" i="49"/>
  <c r="T191" i="49"/>
  <c r="S191" i="49"/>
  <c r="P191" i="49"/>
  <c r="N191" i="49"/>
  <c r="L191" i="49"/>
  <c r="I191" i="49"/>
  <c r="H191" i="49"/>
  <c r="G191" i="49"/>
  <c r="E191" i="49"/>
  <c r="D191" i="49"/>
  <c r="R180" i="49"/>
  <c r="M180" i="49"/>
  <c r="I180" i="49"/>
  <c r="G180" i="49"/>
  <c r="C180" i="49"/>
  <c r="C179" i="49" s="1"/>
  <c r="Y179" i="49"/>
  <c r="X179" i="49"/>
  <c r="W179" i="49"/>
  <c r="U179" i="49"/>
  <c r="T179" i="49"/>
  <c r="S179" i="49"/>
  <c r="R179" i="49"/>
  <c r="P179" i="49"/>
  <c r="N179" i="49"/>
  <c r="M179" i="49"/>
  <c r="L179" i="49"/>
  <c r="K179" i="49"/>
  <c r="G179" i="49"/>
  <c r="R175" i="49"/>
  <c r="AA174" i="49"/>
  <c r="P175" i="49"/>
  <c r="M175" i="49"/>
  <c r="K175" i="49"/>
  <c r="I175" i="49"/>
  <c r="H175" i="49" s="1"/>
  <c r="G175" i="49"/>
  <c r="P174" i="49"/>
  <c r="M174" i="49"/>
  <c r="AA173" i="49" s="1"/>
  <c r="L174" i="49"/>
  <c r="K174" i="49" s="1"/>
  <c r="I174" i="49"/>
  <c r="H174" i="49" s="1"/>
  <c r="B174" i="49"/>
  <c r="P173" i="49"/>
  <c r="M173" i="49"/>
  <c r="AA172" i="49" s="1"/>
  <c r="K173" i="49"/>
  <c r="Z172" i="49" s="1"/>
  <c r="I173" i="49"/>
  <c r="H173" i="49"/>
  <c r="G173" i="49"/>
  <c r="X172" i="49"/>
  <c r="R172" i="49"/>
  <c r="P172" i="49"/>
  <c r="M172" i="49"/>
  <c r="K172" i="49"/>
  <c r="Y172" i="49" s="1"/>
  <c r="H172" i="49"/>
  <c r="G172" i="49"/>
  <c r="AA171" i="49"/>
  <c r="T171" i="49"/>
  <c r="S171" i="49"/>
  <c r="R171" i="49" s="1"/>
  <c r="P171" i="49"/>
  <c r="N171" i="49"/>
  <c r="L171" i="49"/>
  <c r="I171" i="49"/>
  <c r="E171" i="49"/>
  <c r="B171" i="49"/>
  <c r="P170" i="49"/>
  <c r="M170" i="49"/>
  <c r="K170" i="49"/>
  <c r="Z169" i="49"/>
  <c r="I170" i="49"/>
  <c r="H170" i="49" s="1"/>
  <c r="G170" i="49"/>
  <c r="AA169" i="49"/>
  <c r="R169" i="49"/>
  <c r="P169" i="49"/>
  <c r="M169" i="49"/>
  <c r="K169" i="49"/>
  <c r="H169" i="49"/>
  <c r="G169" i="49"/>
  <c r="X168" i="49"/>
  <c r="W168" i="49"/>
  <c r="R168" i="49"/>
  <c r="P168" i="49"/>
  <c r="M168" i="49"/>
  <c r="K168" i="49"/>
  <c r="Y168" i="49" s="1"/>
  <c r="I168" i="49"/>
  <c r="G168" i="49"/>
  <c r="AA167" i="49"/>
  <c r="Y167" i="49"/>
  <c r="R167" i="49"/>
  <c r="P167" i="49"/>
  <c r="M167" i="49"/>
  <c r="K167" i="49"/>
  <c r="I167" i="49"/>
  <c r="H167" i="49"/>
  <c r="G167" i="49"/>
  <c r="R166" i="49"/>
  <c r="P166" i="49"/>
  <c r="M166" i="49"/>
  <c r="K166" i="49"/>
  <c r="H166" i="49"/>
  <c r="G166" i="49"/>
  <c r="R165" i="49"/>
  <c r="P165" i="49"/>
  <c r="M165" i="49"/>
  <c r="K165" i="49"/>
  <c r="H165" i="49"/>
  <c r="G165" i="49"/>
  <c r="R164" i="49"/>
  <c r="P164" i="49"/>
  <c r="M164" i="49"/>
  <c r="K164" i="49"/>
  <c r="H164" i="49"/>
  <c r="G164" i="49"/>
  <c r="T163" i="49"/>
  <c r="M163" i="49" s="1"/>
  <c r="S163" i="49"/>
  <c r="R163" i="49" s="1"/>
  <c r="N163" i="49"/>
  <c r="L163" i="49"/>
  <c r="B163" i="49"/>
  <c r="P162" i="49"/>
  <c r="M162" i="49"/>
  <c r="AA161" i="49" s="1"/>
  <c r="K162" i="49"/>
  <c r="Y162" i="49" s="1"/>
  <c r="H162" i="49"/>
  <c r="G162" i="49"/>
  <c r="W162" i="49"/>
  <c r="X161" i="49"/>
  <c r="W161" i="49"/>
  <c r="M161" i="49"/>
  <c r="K161" i="49"/>
  <c r="Y161" i="49" s="1"/>
  <c r="H161" i="49"/>
  <c r="G161" i="49"/>
  <c r="X160" i="49"/>
  <c r="M160" i="49"/>
  <c r="K160" i="49"/>
  <c r="H160" i="49"/>
  <c r="G160" i="49"/>
  <c r="Y159" i="49"/>
  <c r="X159" i="49"/>
  <c r="P159" i="49"/>
  <c r="M159" i="49"/>
  <c r="K159" i="49"/>
  <c r="W159" i="49" s="1"/>
  <c r="H159" i="49"/>
  <c r="G159" i="49"/>
  <c r="AA158" i="49"/>
  <c r="X158" i="49"/>
  <c r="X155" i="49" s="1"/>
  <c r="T158" i="49"/>
  <c r="S158" i="49"/>
  <c r="P158" i="49"/>
  <c r="L158" i="49"/>
  <c r="K158" i="49"/>
  <c r="I158" i="49"/>
  <c r="H158" i="49"/>
  <c r="G158" i="49"/>
  <c r="E155" i="49"/>
  <c r="B158" i="49"/>
  <c r="Y157" i="49"/>
  <c r="X157" i="49"/>
  <c r="P157" i="49"/>
  <c r="M157" i="49"/>
  <c r="AA156" i="49" s="1"/>
  <c r="K157" i="49"/>
  <c r="I157" i="49"/>
  <c r="H157" i="49" s="1"/>
  <c r="G157" i="49"/>
  <c r="Y156" i="49"/>
  <c r="X156" i="49"/>
  <c r="P156" i="49"/>
  <c r="M156" i="49"/>
  <c r="K156" i="49"/>
  <c r="W156" i="49" s="1"/>
  <c r="H156" i="49"/>
  <c r="G156" i="49"/>
  <c r="AA155" i="49"/>
  <c r="S155" i="49"/>
  <c r="R155" i="49" s="1"/>
  <c r="P155" i="49"/>
  <c r="N155" i="49"/>
  <c r="L155" i="49"/>
  <c r="K155" i="49" s="1"/>
  <c r="W155" i="49" s="1"/>
  <c r="I155" i="49"/>
  <c r="H155" i="49" s="1"/>
  <c r="B155" i="49"/>
  <c r="X154" i="49"/>
  <c r="R154" i="49"/>
  <c r="P154" i="49"/>
  <c r="M154" i="49"/>
  <c r="K154" i="49"/>
  <c r="Y154" i="49" s="1"/>
  <c r="H154" i="49"/>
  <c r="G154" i="49"/>
  <c r="AA153" i="49"/>
  <c r="R153" i="49"/>
  <c r="P153" i="49"/>
  <c r="K153" i="49"/>
  <c r="H153" i="49"/>
  <c r="G153" i="49"/>
  <c r="Y152" i="49"/>
  <c r="R152" i="49"/>
  <c r="P152" i="49"/>
  <c r="M152" i="49"/>
  <c r="K152" i="49"/>
  <c r="H152" i="49"/>
  <c r="G152" i="49"/>
  <c r="W152" i="49"/>
  <c r="AA151" i="49"/>
  <c r="R151" i="49"/>
  <c r="P151" i="49"/>
  <c r="M151" i="49"/>
  <c r="K151" i="49"/>
  <c r="H151" i="49"/>
  <c r="G151" i="49"/>
  <c r="Y150" i="49"/>
  <c r="R150" i="49"/>
  <c r="P150" i="49"/>
  <c r="M150" i="49"/>
  <c r="L150" i="49"/>
  <c r="K150" i="49" s="1"/>
  <c r="I150" i="49"/>
  <c r="H150" i="49"/>
  <c r="R149" i="49"/>
  <c r="P149" i="49"/>
  <c r="M149" i="49"/>
  <c r="K149" i="49"/>
  <c r="H149" i="49"/>
  <c r="G149" i="49"/>
  <c r="Y148" i="49"/>
  <c r="R148" i="49"/>
  <c r="P148" i="49"/>
  <c r="M148" i="49"/>
  <c r="K148" i="49"/>
  <c r="I148" i="49"/>
  <c r="H148" i="49"/>
  <c r="G148" i="49"/>
  <c r="T147" i="49"/>
  <c r="M147" i="49" s="1"/>
  <c r="S147" i="49"/>
  <c r="R147" i="49"/>
  <c r="P147" i="49"/>
  <c r="N147" i="49"/>
  <c r="L147" i="49"/>
  <c r="I147" i="49"/>
  <c r="H147" i="49"/>
  <c r="B147" i="49"/>
  <c r="AA145" i="49"/>
  <c r="P146" i="49"/>
  <c r="M146" i="49"/>
  <c r="K146" i="49"/>
  <c r="Z145" i="49" s="1"/>
  <c r="I146" i="49"/>
  <c r="H146" i="49" s="1"/>
  <c r="G146" i="49"/>
  <c r="R145" i="49"/>
  <c r="P145" i="49"/>
  <c r="M145" i="49"/>
  <c r="K145" i="49"/>
  <c r="Y145" i="49" s="1"/>
  <c r="I145" i="49"/>
  <c r="H145" i="49"/>
  <c r="G145" i="49"/>
  <c r="R144" i="49"/>
  <c r="P144" i="49"/>
  <c r="N144" i="49"/>
  <c r="N138" i="49" s="1"/>
  <c r="N132" i="49" s="1"/>
  <c r="M144" i="49"/>
  <c r="K144" i="49"/>
  <c r="Y144" i="49" s="1"/>
  <c r="H144" i="49"/>
  <c r="G144" i="49"/>
  <c r="Y143" i="49"/>
  <c r="R143" i="49"/>
  <c r="X143" i="49"/>
  <c r="P143" i="49"/>
  <c r="N143" i="49"/>
  <c r="M143" i="49"/>
  <c r="AA142" i="49" s="1"/>
  <c r="K143" i="49"/>
  <c r="H143" i="49"/>
  <c r="G143" i="49"/>
  <c r="W143" i="49"/>
  <c r="R142" i="49"/>
  <c r="P142" i="49"/>
  <c r="N142" i="49"/>
  <c r="M142" i="49"/>
  <c r="K142" i="49"/>
  <c r="H142" i="49"/>
  <c r="G142" i="49"/>
  <c r="Y141" i="49"/>
  <c r="R141" i="49"/>
  <c r="X141" i="49"/>
  <c r="P141" i="49"/>
  <c r="N141" i="49"/>
  <c r="M141" i="49"/>
  <c r="AA140" i="49" s="1"/>
  <c r="K141" i="49"/>
  <c r="H141" i="49"/>
  <c r="G141" i="49"/>
  <c r="R140" i="49"/>
  <c r="P140" i="49"/>
  <c r="N140" i="49"/>
  <c r="N134" i="49" s="1"/>
  <c r="N128" i="49" s="1"/>
  <c r="M140" i="49"/>
  <c r="K140" i="49"/>
  <c r="Y140" i="49" s="1"/>
  <c r="H140" i="49"/>
  <c r="G140" i="49"/>
  <c r="X139" i="49"/>
  <c r="R139" i="49"/>
  <c r="P139" i="49"/>
  <c r="N139" i="49"/>
  <c r="M139" i="49"/>
  <c r="K139" i="49"/>
  <c r="H139" i="49"/>
  <c r="G139" i="49"/>
  <c r="AA138" i="49"/>
  <c r="Y138" i="49"/>
  <c r="R138" i="49"/>
  <c r="X138" i="49"/>
  <c r="P138" i="49"/>
  <c r="M138" i="49"/>
  <c r="AA137" i="49" s="1"/>
  <c r="K138" i="49"/>
  <c r="H138" i="49"/>
  <c r="G138" i="49"/>
  <c r="R137" i="49"/>
  <c r="P137" i="49"/>
  <c r="N137" i="49"/>
  <c r="M137" i="49"/>
  <c r="K137" i="49"/>
  <c r="Y137" i="49" s="1"/>
  <c r="I137" i="49"/>
  <c r="H137" i="49"/>
  <c r="G137" i="49"/>
  <c r="T136" i="49"/>
  <c r="M136" i="49" s="1"/>
  <c r="S136" i="49"/>
  <c r="R136" i="49"/>
  <c r="P136" i="49"/>
  <c r="N136" i="49"/>
  <c r="L136" i="49"/>
  <c r="I136" i="49"/>
  <c r="H136" i="49"/>
  <c r="B136" i="49"/>
  <c r="R135" i="49"/>
  <c r="P135" i="49"/>
  <c r="N135" i="49"/>
  <c r="M135" i="49"/>
  <c r="K135" i="49"/>
  <c r="I135" i="49"/>
  <c r="H135" i="49" s="1"/>
  <c r="G135" i="49"/>
  <c r="AA134" i="49"/>
  <c r="V134" i="49"/>
  <c r="P134" i="49"/>
  <c r="M134" i="49"/>
  <c r="K134" i="49"/>
  <c r="I134" i="49"/>
  <c r="H134" i="49" s="1"/>
  <c r="G134" i="49"/>
  <c r="AA133" i="49"/>
  <c r="R133" i="49"/>
  <c r="P133" i="49"/>
  <c r="N133" i="49"/>
  <c r="M133" i="49"/>
  <c r="K133" i="49"/>
  <c r="I133" i="49"/>
  <c r="H133" i="49" s="1"/>
  <c r="G133" i="49"/>
  <c r="AA132" i="49"/>
  <c r="P132" i="49"/>
  <c r="I132" i="49"/>
  <c r="H132" i="49" s="1"/>
  <c r="G132" i="49"/>
  <c r="AA131" i="49"/>
  <c r="X131" i="49"/>
  <c r="R131" i="49"/>
  <c r="P131" i="49"/>
  <c r="N131" i="49"/>
  <c r="M131" i="49"/>
  <c r="AA130" i="49" s="1"/>
  <c r="K131" i="49"/>
  <c r="I131" i="49"/>
  <c r="H131" i="49"/>
  <c r="G131" i="49"/>
  <c r="AA129" i="49"/>
  <c r="N130" i="49"/>
  <c r="I130" i="49"/>
  <c r="Z129" i="49"/>
  <c r="P129" i="49"/>
  <c r="N129" i="49"/>
  <c r="N123" i="49" s="1"/>
  <c r="I129" i="49"/>
  <c r="AA128" i="49"/>
  <c r="Z128" i="49"/>
  <c r="R128" i="49"/>
  <c r="AA127" i="49"/>
  <c r="P128" i="49"/>
  <c r="M128" i="49"/>
  <c r="K128" i="49"/>
  <c r="Y128" i="49" s="1"/>
  <c r="I128" i="49"/>
  <c r="H128" i="49"/>
  <c r="G128" i="49"/>
  <c r="W128" i="49"/>
  <c r="R127" i="49"/>
  <c r="X127" i="49"/>
  <c r="P127" i="49"/>
  <c r="N127" i="49"/>
  <c r="M127" i="49"/>
  <c r="K127" i="49"/>
  <c r="I127" i="49"/>
  <c r="H127" i="49"/>
  <c r="G127" i="49"/>
  <c r="W127" i="49"/>
  <c r="X126" i="49"/>
  <c r="R126" i="49"/>
  <c r="P126" i="49"/>
  <c r="N126" i="49"/>
  <c r="M126" i="49"/>
  <c r="AA125" i="49" s="1"/>
  <c r="K126" i="49"/>
  <c r="H126" i="49"/>
  <c r="G126" i="49"/>
  <c r="X125" i="49"/>
  <c r="R125" i="49"/>
  <c r="P125" i="49"/>
  <c r="N125" i="49"/>
  <c r="M125" i="49"/>
  <c r="K125" i="49"/>
  <c r="H125" i="49"/>
  <c r="G125" i="49"/>
  <c r="AA124" i="49"/>
  <c r="X124" i="49"/>
  <c r="R124" i="49"/>
  <c r="P124" i="49"/>
  <c r="N124" i="49"/>
  <c r="M124" i="49"/>
  <c r="AA123" i="49" s="1"/>
  <c r="K124" i="49"/>
  <c r="H124" i="49"/>
  <c r="G124" i="49"/>
  <c r="X123" i="49"/>
  <c r="R123" i="49"/>
  <c r="P123" i="49"/>
  <c r="M123" i="49"/>
  <c r="K123" i="49"/>
  <c r="W123" i="49" s="1"/>
  <c r="H123" i="49"/>
  <c r="G123" i="49"/>
  <c r="AA122" i="49"/>
  <c r="T122" i="49"/>
  <c r="S122" i="49"/>
  <c r="R122" i="49" s="1"/>
  <c r="P122" i="49"/>
  <c r="N122" i="49"/>
  <c r="L122" i="49"/>
  <c r="I122" i="49"/>
  <c r="I121" i="49" s="1"/>
  <c r="B122" i="49"/>
  <c r="S121" i="49"/>
  <c r="P121" i="49" s="1"/>
  <c r="R121" i="49"/>
  <c r="N121" i="49"/>
  <c r="B121" i="49"/>
  <c r="Y120" i="49"/>
  <c r="P120" i="49"/>
  <c r="M120" i="49"/>
  <c r="K120" i="49"/>
  <c r="Z118" i="49" s="1"/>
  <c r="I120" i="49"/>
  <c r="H120" i="49"/>
  <c r="G120" i="49"/>
  <c r="AA118" i="49"/>
  <c r="R118" i="49"/>
  <c r="M118" i="49"/>
  <c r="K118" i="49"/>
  <c r="Y118" i="49" s="1"/>
  <c r="H118" i="49"/>
  <c r="G118" i="49"/>
  <c r="T117" i="49"/>
  <c r="S117" i="49"/>
  <c r="R117" i="49"/>
  <c r="P117" i="49"/>
  <c r="N117" i="49"/>
  <c r="M117" i="49"/>
  <c r="L117" i="49"/>
  <c r="K117" i="49"/>
  <c r="I117" i="49"/>
  <c r="H117" i="49" s="1"/>
  <c r="G117" i="49"/>
  <c r="E117" i="49"/>
  <c r="B117" i="49"/>
  <c r="Y116" i="49"/>
  <c r="R116" i="49"/>
  <c r="X116" i="49"/>
  <c r="M116" i="49"/>
  <c r="K116" i="49"/>
  <c r="H116" i="49"/>
  <c r="G116" i="49"/>
  <c r="X115" i="49"/>
  <c r="R115" i="49"/>
  <c r="M115" i="49"/>
  <c r="K115" i="49"/>
  <c r="W115" i="49" s="1"/>
  <c r="H115" i="49"/>
  <c r="G115" i="49"/>
  <c r="T114" i="49"/>
  <c r="M114" i="49" s="1"/>
  <c r="S114" i="49"/>
  <c r="R114" i="49" s="1"/>
  <c r="N114" i="49"/>
  <c r="L114" i="49"/>
  <c r="K114" i="49"/>
  <c r="Y114" i="49" s="1"/>
  <c r="I114" i="49"/>
  <c r="H114" i="49" s="1"/>
  <c r="G114" i="49"/>
  <c r="W114" i="49"/>
  <c r="E114" i="49"/>
  <c r="B114" i="49"/>
  <c r="K113" i="49"/>
  <c r="H113" i="49"/>
  <c r="G113" i="49"/>
  <c r="X112" i="49"/>
  <c r="R112" i="49"/>
  <c r="M112" i="49"/>
  <c r="K112" i="49"/>
  <c r="H112" i="49"/>
  <c r="G112" i="49"/>
  <c r="X111" i="49"/>
  <c r="R111" i="49"/>
  <c r="W111" i="49"/>
  <c r="M111" i="49"/>
  <c r="K111" i="49"/>
  <c r="Y111" i="49" s="1"/>
  <c r="H111" i="49"/>
  <c r="G111" i="49"/>
  <c r="Y110" i="49"/>
  <c r="R110" i="49"/>
  <c r="X110" i="49" s="1"/>
  <c r="M110" i="49"/>
  <c r="K110" i="49"/>
  <c r="H110" i="49"/>
  <c r="G110" i="49"/>
  <c r="W110" i="49"/>
  <c r="R109" i="49"/>
  <c r="M109" i="49"/>
  <c r="K109" i="49"/>
  <c r="Y109" i="49" s="1"/>
  <c r="H109" i="49"/>
  <c r="G109" i="49"/>
  <c r="L108" i="49"/>
  <c r="H108" i="49" s="1"/>
  <c r="K108" i="49"/>
  <c r="G108" i="49"/>
  <c r="B108" i="49"/>
  <c r="K107" i="49"/>
  <c r="I107" i="49"/>
  <c r="H107" i="49" s="1"/>
  <c r="G107" i="49"/>
  <c r="R106" i="49"/>
  <c r="X106" i="49"/>
  <c r="M106" i="49"/>
  <c r="K106" i="49"/>
  <c r="H106" i="49"/>
  <c r="G106" i="49"/>
  <c r="R105" i="49"/>
  <c r="P105" i="49"/>
  <c r="M105" i="49"/>
  <c r="L105" i="49"/>
  <c r="K105" i="49" s="1"/>
  <c r="G105" i="49"/>
  <c r="X104" i="49"/>
  <c r="R104" i="49"/>
  <c r="P104" i="49"/>
  <c r="M104" i="49"/>
  <c r="AA104" i="49" s="1"/>
  <c r="L104" i="49"/>
  <c r="Y103" i="49"/>
  <c r="X103" i="49"/>
  <c r="R103" i="49"/>
  <c r="P103" i="49"/>
  <c r="M103" i="49"/>
  <c r="AA103" i="49" s="1"/>
  <c r="K103" i="49"/>
  <c r="H103" i="49"/>
  <c r="G103" i="49"/>
  <c r="T102" i="49"/>
  <c r="M102" i="49" s="1"/>
  <c r="S102" i="49"/>
  <c r="N102" i="49"/>
  <c r="I102" i="49"/>
  <c r="B102" i="49"/>
  <c r="Y101" i="49"/>
  <c r="R101" i="49"/>
  <c r="P101" i="49"/>
  <c r="M101" i="49"/>
  <c r="AA101" i="49" s="1"/>
  <c r="K101" i="49"/>
  <c r="I101" i="49"/>
  <c r="H101" i="49" s="1"/>
  <c r="G101" i="49"/>
  <c r="Y100" i="49"/>
  <c r="R100" i="49"/>
  <c r="P100" i="49"/>
  <c r="M100" i="49"/>
  <c r="AA100" i="49" s="1"/>
  <c r="K100" i="49"/>
  <c r="I100" i="49"/>
  <c r="H100" i="49" s="1"/>
  <c r="G100" i="49"/>
  <c r="Y99" i="49"/>
  <c r="R99" i="49"/>
  <c r="P99" i="49"/>
  <c r="M99" i="49"/>
  <c r="AA99" i="49" s="1"/>
  <c r="K99" i="49"/>
  <c r="I99" i="49"/>
  <c r="H99" i="49" s="1"/>
  <c r="G99" i="49"/>
  <c r="Y98" i="49"/>
  <c r="R98" i="49"/>
  <c r="P98" i="49"/>
  <c r="M98" i="49"/>
  <c r="AA98" i="49" s="1"/>
  <c r="K98" i="49"/>
  <c r="I98" i="49"/>
  <c r="H98" i="49" s="1"/>
  <c r="G98" i="49"/>
  <c r="Y97" i="49"/>
  <c r="R97" i="49"/>
  <c r="P97" i="49"/>
  <c r="M97" i="49"/>
  <c r="AA97" i="49" s="1"/>
  <c r="K97" i="49"/>
  <c r="I97" i="49"/>
  <c r="H97" i="49" s="1"/>
  <c r="G97" i="49"/>
  <c r="Y96" i="49"/>
  <c r="R96" i="49"/>
  <c r="P96" i="49"/>
  <c r="M96" i="49"/>
  <c r="AA96" i="49" s="1"/>
  <c r="K96" i="49"/>
  <c r="I96" i="49"/>
  <c r="H96" i="49" s="1"/>
  <c r="G96" i="49"/>
  <c r="Y95" i="49"/>
  <c r="R95" i="49"/>
  <c r="P95" i="49"/>
  <c r="M95" i="49"/>
  <c r="AA95" i="49" s="1"/>
  <c r="K95" i="49"/>
  <c r="I95" i="49"/>
  <c r="H95" i="49" s="1"/>
  <c r="G95" i="49"/>
  <c r="Z94" i="49"/>
  <c r="AA94" i="49"/>
  <c r="I94" i="49"/>
  <c r="R93" i="49"/>
  <c r="P93" i="49"/>
  <c r="M93" i="49"/>
  <c r="K93" i="49"/>
  <c r="I93" i="49"/>
  <c r="H93" i="49"/>
  <c r="G93" i="49"/>
  <c r="R92" i="49"/>
  <c r="P92" i="49"/>
  <c r="M92" i="49"/>
  <c r="K92" i="49"/>
  <c r="I92" i="49"/>
  <c r="H92" i="49"/>
  <c r="G92" i="49"/>
  <c r="X91" i="49"/>
  <c r="R91" i="49"/>
  <c r="P91" i="49"/>
  <c r="M91" i="49"/>
  <c r="AA91" i="49" s="1"/>
  <c r="K91" i="49"/>
  <c r="H91" i="49"/>
  <c r="G91" i="49"/>
  <c r="Y90" i="49"/>
  <c r="X90" i="49"/>
  <c r="R90" i="49"/>
  <c r="P90" i="49"/>
  <c r="M90" i="49"/>
  <c r="AA90" i="49" s="1"/>
  <c r="K90" i="49"/>
  <c r="H90" i="49"/>
  <c r="G90" i="49"/>
  <c r="W90" i="49"/>
  <c r="Y89" i="49"/>
  <c r="X89" i="49"/>
  <c r="R89" i="49"/>
  <c r="P89" i="49"/>
  <c r="M89" i="49"/>
  <c r="AA89" i="49" s="1"/>
  <c r="K89" i="49"/>
  <c r="H89" i="49"/>
  <c r="G89" i="49"/>
  <c r="W89" i="49"/>
  <c r="X88" i="49"/>
  <c r="R88" i="49"/>
  <c r="P88" i="49"/>
  <c r="M88" i="49"/>
  <c r="AA88" i="49" s="1"/>
  <c r="K88" i="49"/>
  <c r="Y88" i="49" s="1"/>
  <c r="H88" i="49"/>
  <c r="G88" i="49"/>
  <c r="R87" i="49"/>
  <c r="P87" i="49"/>
  <c r="M87" i="49"/>
  <c r="K87" i="49"/>
  <c r="Y87" i="49" s="1"/>
  <c r="H87" i="49"/>
  <c r="G87" i="49"/>
  <c r="T86" i="49"/>
  <c r="S86" i="49"/>
  <c r="P86" i="49" s="1"/>
  <c r="R86" i="49"/>
  <c r="N86" i="49"/>
  <c r="M86" i="49"/>
  <c r="L86" i="49"/>
  <c r="K86" i="49"/>
  <c r="Y86" i="49" s="1"/>
  <c r="I86" i="49"/>
  <c r="H86" i="49" s="1"/>
  <c r="G86" i="49"/>
  <c r="W86" i="49"/>
  <c r="B86" i="49"/>
  <c r="R85" i="49"/>
  <c r="P85" i="49"/>
  <c r="M85" i="49"/>
  <c r="K85" i="49"/>
  <c r="I85" i="49"/>
  <c r="H85" i="49"/>
  <c r="G85" i="49"/>
  <c r="R84" i="49"/>
  <c r="P84" i="49"/>
  <c r="M84" i="49"/>
  <c r="K84" i="49"/>
  <c r="I84" i="49"/>
  <c r="H84" i="49"/>
  <c r="G84" i="49"/>
  <c r="R83" i="49"/>
  <c r="P83" i="49"/>
  <c r="M83" i="49"/>
  <c r="K83" i="49"/>
  <c r="I83" i="49"/>
  <c r="G83" i="49"/>
  <c r="R82" i="49"/>
  <c r="P82" i="49"/>
  <c r="M82" i="49"/>
  <c r="K82" i="49"/>
  <c r="H82" i="49"/>
  <c r="G82" i="49"/>
  <c r="T81" i="49"/>
  <c r="M81" i="49" s="1"/>
  <c r="S81" i="49"/>
  <c r="R81" i="49"/>
  <c r="P81" i="49"/>
  <c r="N81" i="49"/>
  <c r="L81" i="49"/>
  <c r="K81" i="49" s="1"/>
  <c r="I81" i="49"/>
  <c r="H81" i="49" s="1"/>
  <c r="E81" i="49"/>
  <c r="B81" i="49"/>
  <c r="R80" i="49"/>
  <c r="AA80" i="49"/>
  <c r="P80" i="49"/>
  <c r="M80" i="49"/>
  <c r="K80" i="49"/>
  <c r="I80" i="49"/>
  <c r="H80" i="49"/>
  <c r="G80" i="49"/>
  <c r="AA79" i="49"/>
  <c r="X79" i="49"/>
  <c r="R79" i="49"/>
  <c r="P79" i="49"/>
  <c r="M79" i="49"/>
  <c r="K79" i="49"/>
  <c r="Y79" i="49" s="1"/>
  <c r="H79" i="49"/>
  <c r="G79" i="49"/>
  <c r="X78" i="49"/>
  <c r="R78" i="49"/>
  <c r="P78" i="49"/>
  <c r="M78" i="49"/>
  <c r="AA78" i="49" s="1"/>
  <c r="K78" i="49"/>
  <c r="H78" i="49"/>
  <c r="G78" i="49"/>
  <c r="T77" i="49"/>
  <c r="S77" i="49"/>
  <c r="R77" i="49"/>
  <c r="P77" i="49"/>
  <c r="N77" i="49"/>
  <c r="M77" i="49"/>
  <c r="L77" i="49"/>
  <c r="I77" i="49"/>
  <c r="E77" i="49"/>
  <c r="B77" i="49"/>
  <c r="R76" i="49"/>
  <c r="P76" i="49"/>
  <c r="M76" i="49"/>
  <c r="K76" i="49"/>
  <c r="I76" i="49"/>
  <c r="H76" i="49"/>
  <c r="G76" i="49"/>
  <c r="R75" i="49"/>
  <c r="P75" i="49"/>
  <c r="M75" i="49"/>
  <c r="K75" i="49"/>
  <c r="I75" i="49"/>
  <c r="H75" i="49"/>
  <c r="G75" i="49"/>
  <c r="R74" i="49"/>
  <c r="P74" i="49"/>
  <c r="M74" i="49"/>
  <c r="K74" i="49"/>
  <c r="I74" i="49"/>
  <c r="H74" i="49"/>
  <c r="G74" i="49"/>
  <c r="R73" i="49"/>
  <c r="P73" i="49"/>
  <c r="M73" i="49"/>
  <c r="K73" i="49"/>
  <c r="I73" i="49"/>
  <c r="H73" i="49"/>
  <c r="G73" i="49"/>
  <c r="R72" i="49"/>
  <c r="P72" i="49"/>
  <c r="M72" i="49"/>
  <c r="K72" i="49"/>
  <c r="I72" i="49"/>
  <c r="H72" i="49"/>
  <c r="G72" i="49"/>
  <c r="R71" i="49"/>
  <c r="P71" i="49"/>
  <c r="M71" i="49"/>
  <c r="K71" i="49"/>
  <c r="I71" i="49"/>
  <c r="H71" i="49"/>
  <c r="G71" i="49"/>
  <c r="R70" i="49"/>
  <c r="P70" i="49"/>
  <c r="M70" i="49"/>
  <c r="K70" i="49"/>
  <c r="H70" i="49"/>
  <c r="G70" i="49"/>
  <c r="T69" i="49"/>
  <c r="M69" i="49" s="1"/>
  <c r="S69" i="49"/>
  <c r="R69" i="49"/>
  <c r="P69" i="49"/>
  <c r="N69" i="49"/>
  <c r="L69" i="49"/>
  <c r="I69" i="49"/>
  <c r="H69" i="49" s="1"/>
  <c r="E69" i="49"/>
  <c r="B69" i="49"/>
  <c r="X68" i="49"/>
  <c r="R68" i="49"/>
  <c r="P68" i="49"/>
  <c r="M68" i="49"/>
  <c r="AA68" i="49" s="1"/>
  <c r="K68" i="49"/>
  <c r="Y68" i="49" s="1"/>
  <c r="I68" i="49"/>
  <c r="H68" i="49"/>
  <c r="G68" i="49"/>
  <c r="W68" i="49"/>
  <c r="X67" i="49"/>
  <c r="R67" i="49"/>
  <c r="P67" i="49"/>
  <c r="M67" i="49"/>
  <c r="AA67" i="49" s="1"/>
  <c r="K67" i="49"/>
  <c r="Y67" i="49" s="1"/>
  <c r="I67" i="49"/>
  <c r="H67" i="49"/>
  <c r="G67" i="49"/>
  <c r="W67" i="49"/>
  <c r="R66" i="49"/>
  <c r="X66" i="49"/>
  <c r="P66" i="49"/>
  <c r="M66" i="49"/>
  <c r="I66" i="49"/>
  <c r="H66" i="49" s="1"/>
  <c r="G66" i="49"/>
  <c r="AA65" i="49"/>
  <c r="R65" i="49"/>
  <c r="P65" i="49"/>
  <c r="M65" i="49"/>
  <c r="K65" i="49"/>
  <c r="Y65" i="49" s="1"/>
  <c r="I65" i="49"/>
  <c r="H65" i="49" s="1"/>
  <c r="G65" i="49"/>
  <c r="W65" i="49"/>
  <c r="Y64" i="49"/>
  <c r="X64" i="49"/>
  <c r="R64" i="49"/>
  <c r="P64" i="49"/>
  <c r="M64" i="49"/>
  <c r="AA64" i="49" s="1"/>
  <c r="K64" i="49"/>
  <c r="H64" i="49"/>
  <c r="G64" i="49"/>
  <c r="W64" i="49"/>
  <c r="X63" i="49"/>
  <c r="T63" i="49"/>
  <c r="M63" i="49" s="1"/>
  <c r="AA63" i="49" s="1"/>
  <c r="S63" i="49"/>
  <c r="P63" i="49" s="1"/>
  <c r="R63" i="49"/>
  <c r="N63" i="49"/>
  <c r="N45" i="49" s="1"/>
  <c r="L63" i="49"/>
  <c r="K63" i="49" s="1"/>
  <c r="I63" i="49"/>
  <c r="H63" i="49"/>
  <c r="E63" i="49"/>
  <c r="B63" i="49"/>
  <c r="R62" i="49"/>
  <c r="P62" i="49"/>
  <c r="M62" i="49"/>
  <c r="K62" i="49"/>
  <c r="I62" i="49"/>
  <c r="H62" i="49" s="1"/>
  <c r="G62" i="49"/>
  <c r="Y61" i="49"/>
  <c r="AA61" i="49"/>
  <c r="K61" i="49"/>
  <c r="I61" i="49"/>
  <c r="H61" i="49" s="1"/>
  <c r="G61" i="49"/>
  <c r="W61" i="49"/>
  <c r="Y60" i="49"/>
  <c r="R60" i="49"/>
  <c r="X60" i="49" s="1"/>
  <c r="P60" i="49"/>
  <c r="M60" i="49"/>
  <c r="AA60" i="49" s="1"/>
  <c r="K60" i="49"/>
  <c r="H60" i="49"/>
  <c r="G60" i="49"/>
  <c r="W60" i="49"/>
  <c r="AA59" i="49"/>
  <c r="X59" i="49"/>
  <c r="R59" i="49"/>
  <c r="P59" i="49"/>
  <c r="M59" i="49"/>
  <c r="K59" i="49"/>
  <c r="Y59" i="49" s="1"/>
  <c r="H59" i="49"/>
  <c r="G59" i="49"/>
  <c r="R58" i="49"/>
  <c r="P58" i="49"/>
  <c r="M58" i="49"/>
  <c r="K58" i="49"/>
  <c r="H58" i="49"/>
  <c r="G58" i="49"/>
  <c r="T57" i="49"/>
  <c r="M57" i="49" s="1"/>
  <c r="S57" i="49"/>
  <c r="N57" i="49"/>
  <c r="L57" i="49"/>
  <c r="K57" i="49"/>
  <c r="I57" i="49"/>
  <c r="H57" i="49"/>
  <c r="G57" i="49"/>
  <c r="E57" i="49"/>
  <c r="B57" i="49"/>
  <c r="Y56" i="49"/>
  <c r="R56" i="49"/>
  <c r="P56" i="49"/>
  <c r="M56" i="49"/>
  <c r="K56" i="49"/>
  <c r="I56" i="49"/>
  <c r="H56" i="49" s="1"/>
  <c r="G56" i="49"/>
  <c r="W56" i="49"/>
  <c r="Y55" i="49"/>
  <c r="R55" i="49"/>
  <c r="P55" i="49"/>
  <c r="M55" i="49"/>
  <c r="K55" i="49"/>
  <c r="I55" i="49"/>
  <c r="H55" i="49" s="1"/>
  <c r="G55" i="49"/>
  <c r="W55" i="49"/>
  <c r="Y54" i="49"/>
  <c r="R54" i="49"/>
  <c r="P54" i="49"/>
  <c r="N54" i="49"/>
  <c r="M54" i="49"/>
  <c r="AA54" i="49" s="1"/>
  <c r="K54" i="49"/>
  <c r="I54" i="49"/>
  <c r="H54" i="49" s="1"/>
  <c r="G54" i="49"/>
  <c r="W54" i="49"/>
  <c r="AA53" i="49"/>
  <c r="P53" i="49"/>
  <c r="I53" i="49"/>
  <c r="H53" i="49"/>
  <c r="G53" i="49"/>
  <c r="AA52" i="49"/>
  <c r="R52" i="49"/>
  <c r="P52" i="49"/>
  <c r="M52" i="49"/>
  <c r="K52" i="49"/>
  <c r="I52" i="49"/>
  <c r="H52" i="49"/>
  <c r="G52" i="49"/>
  <c r="R51" i="49"/>
  <c r="Y51" i="49" s="1"/>
  <c r="X51" i="49"/>
  <c r="P51" i="49"/>
  <c r="M51" i="49"/>
  <c r="I51" i="49"/>
  <c r="H51" i="49" s="1"/>
  <c r="C51" i="49"/>
  <c r="Z51" i="49" s="1"/>
  <c r="R50" i="49"/>
  <c r="Y50" i="49" s="1"/>
  <c r="X50" i="49"/>
  <c r="P50" i="49"/>
  <c r="M50" i="49"/>
  <c r="I50" i="49"/>
  <c r="H50" i="49" s="1"/>
  <c r="C50" i="49"/>
  <c r="Z50" i="49" s="1"/>
  <c r="AA49" i="49"/>
  <c r="R49" i="49"/>
  <c r="Y49" i="49" s="1"/>
  <c r="X49" i="49"/>
  <c r="P49" i="49"/>
  <c r="M49" i="49"/>
  <c r="I49" i="49"/>
  <c r="H49" i="49" s="1"/>
  <c r="C49" i="49"/>
  <c r="Z49" i="49" s="1"/>
  <c r="X48" i="49"/>
  <c r="R48" i="49"/>
  <c r="P48" i="49"/>
  <c r="M48" i="49"/>
  <c r="AA48" i="49" s="1"/>
  <c r="K48" i="49"/>
  <c r="Y48" i="49" s="1"/>
  <c r="H48" i="49"/>
  <c r="G48" i="49"/>
  <c r="R47" i="49"/>
  <c r="P47" i="49"/>
  <c r="M47" i="49"/>
  <c r="AA47" i="49" s="1"/>
  <c r="K47" i="49"/>
  <c r="H47" i="49"/>
  <c r="G47" i="49"/>
  <c r="T46" i="49"/>
  <c r="M46" i="49" s="1"/>
  <c r="AA46" i="49" s="1"/>
  <c r="S46" i="49"/>
  <c r="P46" i="49" s="1"/>
  <c r="R46" i="49"/>
  <c r="L46" i="49"/>
  <c r="K46" i="49" s="1"/>
  <c r="B46" i="49"/>
  <c r="B45" i="49" s="1"/>
  <c r="S45" i="49"/>
  <c r="Y44" i="49"/>
  <c r="R44" i="49"/>
  <c r="P44" i="49"/>
  <c r="M44" i="49"/>
  <c r="K44" i="49"/>
  <c r="H44" i="49"/>
  <c r="G44" i="49"/>
  <c r="F44" i="49"/>
  <c r="W44" i="49" s="1"/>
  <c r="R43" i="49"/>
  <c r="P43" i="49"/>
  <c r="M43" i="49"/>
  <c r="K43" i="49"/>
  <c r="H43" i="49"/>
  <c r="G43" i="49"/>
  <c r="F43" i="49"/>
  <c r="W43" i="49" s="1"/>
  <c r="R42" i="49"/>
  <c r="AA42" i="49" s="1"/>
  <c r="P42" i="49"/>
  <c r="M42" i="49"/>
  <c r="K42" i="49"/>
  <c r="H42" i="49"/>
  <c r="G42" i="49"/>
  <c r="F42" i="49"/>
  <c r="W42" i="49" s="1"/>
  <c r="R41" i="49"/>
  <c r="P41" i="49"/>
  <c r="M41" i="49"/>
  <c r="K41" i="49"/>
  <c r="H41" i="49"/>
  <c r="G41" i="49"/>
  <c r="R40" i="49"/>
  <c r="AA40" i="49" s="1"/>
  <c r="P40" i="49"/>
  <c r="M40" i="49"/>
  <c r="K40" i="49"/>
  <c r="H40" i="49"/>
  <c r="G40" i="49"/>
  <c r="F40" i="49"/>
  <c r="W40" i="49" s="1"/>
  <c r="R39" i="49"/>
  <c r="P39" i="49"/>
  <c r="M39" i="49"/>
  <c r="K39" i="49"/>
  <c r="H39" i="49"/>
  <c r="G39" i="49"/>
  <c r="R38" i="49"/>
  <c r="AA38" i="49"/>
  <c r="P38" i="49"/>
  <c r="M38" i="49"/>
  <c r="K38" i="49"/>
  <c r="Y38" i="49" s="1"/>
  <c r="X38" i="49"/>
  <c r="H38" i="49"/>
  <c r="G38" i="49"/>
  <c r="W38" i="49"/>
  <c r="Y37" i="49"/>
  <c r="R37" i="49"/>
  <c r="P37" i="49"/>
  <c r="M37" i="49"/>
  <c r="AA37" i="49" s="1"/>
  <c r="K37" i="49"/>
  <c r="H37" i="49"/>
  <c r="G37" i="49"/>
  <c r="X36" i="49"/>
  <c r="R36" i="49"/>
  <c r="P36" i="49"/>
  <c r="M36" i="49"/>
  <c r="K36" i="49"/>
  <c r="H36" i="49"/>
  <c r="G36" i="49"/>
  <c r="Y35" i="49"/>
  <c r="R35" i="49"/>
  <c r="P35" i="49"/>
  <c r="M35" i="49"/>
  <c r="K35" i="49"/>
  <c r="H35" i="49"/>
  <c r="G35" i="49"/>
  <c r="W35" i="49"/>
  <c r="Y34" i="49"/>
  <c r="X34" i="49"/>
  <c r="R34" i="49"/>
  <c r="P34" i="49"/>
  <c r="M34" i="49"/>
  <c r="AA34" i="49" s="1"/>
  <c r="K34" i="49"/>
  <c r="H34" i="49"/>
  <c r="G34" i="49"/>
  <c r="R33" i="49"/>
  <c r="P33" i="49"/>
  <c r="M33" i="49"/>
  <c r="AA33" i="49" s="1"/>
  <c r="K33" i="49"/>
  <c r="H33" i="49"/>
  <c r="G33" i="49"/>
  <c r="W33" i="49"/>
  <c r="W32" i="49"/>
  <c r="R32" i="49"/>
  <c r="AA32" i="49"/>
  <c r="P32" i="49"/>
  <c r="M32" i="49"/>
  <c r="K32" i="49"/>
  <c r="Y32" i="49" s="1"/>
  <c r="X32" i="49"/>
  <c r="H32" i="49"/>
  <c r="G32" i="49"/>
  <c r="X30" i="49"/>
  <c r="S30" i="49"/>
  <c r="P30" i="49" s="1"/>
  <c r="R30" i="49"/>
  <c r="AA30" i="49" s="1"/>
  <c r="W30" i="49"/>
  <c r="N30" i="49"/>
  <c r="M30" i="49"/>
  <c r="K30" i="49"/>
  <c r="Y30" i="49" s="1"/>
  <c r="H30" i="49"/>
  <c r="G30" i="49"/>
  <c r="R29" i="49"/>
  <c r="AA29" i="49"/>
  <c r="P29" i="49"/>
  <c r="M29" i="49"/>
  <c r="K29" i="49"/>
  <c r="Y29" i="49" s="1"/>
  <c r="X29" i="49"/>
  <c r="H29" i="49"/>
  <c r="G29" i="49"/>
  <c r="W29" i="49"/>
  <c r="R28" i="49"/>
  <c r="AA28" i="49"/>
  <c r="P28" i="49"/>
  <c r="M28" i="49"/>
  <c r="K28" i="49"/>
  <c r="Y28" i="49" s="1"/>
  <c r="H28" i="49"/>
  <c r="G28" i="49"/>
  <c r="R27" i="49"/>
  <c r="P27" i="49"/>
  <c r="M27" i="49"/>
  <c r="K27" i="49"/>
  <c r="H27" i="49"/>
  <c r="G27" i="49"/>
  <c r="R26" i="49"/>
  <c r="P26" i="49"/>
  <c r="M26" i="49"/>
  <c r="K26" i="49"/>
  <c r="H26" i="49"/>
  <c r="G26" i="49"/>
  <c r="R25" i="49"/>
  <c r="P25" i="49"/>
  <c r="M25" i="49"/>
  <c r="AA25" i="49" s="1"/>
  <c r="K25" i="49"/>
  <c r="Y25" i="49" s="1"/>
  <c r="H25" i="49"/>
  <c r="G25" i="49"/>
  <c r="W25" i="49"/>
  <c r="R24" i="49"/>
  <c r="AA24" i="49"/>
  <c r="P24" i="49"/>
  <c r="M24" i="49"/>
  <c r="K24" i="49"/>
  <c r="Y24" i="49" s="1"/>
  <c r="H24" i="49"/>
  <c r="G24" i="49"/>
  <c r="R23" i="49"/>
  <c r="P23" i="49"/>
  <c r="M23" i="49"/>
  <c r="K23" i="49"/>
  <c r="H23" i="49"/>
  <c r="G23" i="49"/>
  <c r="R22" i="49"/>
  <c r="P22" i="49"/>
  <c r="M22" i="49"/>
  <c r="K22" i="49"/>
  <c r="H22" i="49"/>
  <c r="G22" i="49"/>
  <c r="R21" i="49"/>
  <c r="P21" i="49"/>
  <c r="M21" i="49"/>
  <c r="AA21" i="49" s="1"/>
  <c r="K21" i="49"/>
  <c r="Y21" i="49" s="1"/>
  <c r="H21" i="49"/>
  <c r="G21" i="49"/>
  <c r="W21" i="49"/>
  <c r="R20" i="49"/>
  <c r="AA20" i="49"/>
  <c r="P20" i="49"/>
  <c r="M20" i="49"/>
  <c r="K20" i="49"/>
  <c r="Y20" i="49" s="1"/>
  <c r="H20" i="49"/>
  <c r="G20" i="49"/>
  <c r="W20" i="49"/>
  <c r="R19" i="49"/>
  <c r="AA19" i="49"/>
  <c r="P19" i="49"/>
  <c r="M19" i="49"/>
  <c r="K19" i="49"/>
  <c r="Y19" i="49" s="1"/>
  <c r="X19" i="49"/>
  <c r="H19" i="49"/>
  <c r="G19" i="49"/>
  <c r="W19" i="49"/>
  <c r="Y18" i="49"/>
  <c r="R18" i="49"/>
  <c r="P18" i="49"/>
  <c r="M18" i="49"/>
  <c r="K18" i="49"/>
  <c r="H18" i="49"/>
  <c r="G18" i="49"/>
  <c r="W18" i="49"/>
  <c r="R17" i="49"/>
  <c r="P17" i="49"/>
  <c r="M17" i="49"/>
  <c r="K17" i="49"/>
  <c r="H17" i="49"/>
  <c r="G17" i="49"/>
  <c r="R16" i="49"/>
  <c r="X16" i="49"/>
  <c r="P16" i="49"/>
  <c r="M16" i="49"/>
  <c r="M14" i="49" s="1"/>
  <c r="K16" i="49"/>
  <c r="Y16" i="49" s="1"/>
  <c r="H16" i="49"/>
  <c r="G16" i="49"/>
  <c r="Y15" i="49"/>
  <c r="R15" i="49"/>
  <c r="AA15" i="49" s="1"/>
  <c r="P15" i="49"/>
  <c r="K15" i="49"/>
  <c r="H15" i="49"/>
  <c r="G15" i="49"/>
  <c r="W15" i="49"/>
  <c r="T14" i="49"/>
  <c r="S14" i="49"/>
  <c r="S13" i="49" s="1"/>
  <c r="P13" i="49" s="1"/>
  <c r="N14" i="49"/>
  <c r="N13" i="49" s="1"/>
  <c r="K14" i="49"/>
  <c r="H14" i="49"/>
  <c r="G14" i="49"/>
  <c r="T13" i="49"/>
  <c r="L13" i="49"/>
  <c r="G13" i="49" s="1"/>
  <c r="I13" i="49"/>
  <c r="B13" i="49"/>
  <c r="E45" i="49" l="1"/>
  <c r="E177" i="49" s="1"/>
  <c r="E181" i="49" s="1"/>
  <c r="AA36" i="49"/>
  <c r="M13" i="49"/>
  <c r="O164" i="49"/>
  <c r="W164" i="49" s="1"/>
  <c r="Q164" i="49"/>
  <c r="Y164" i="49"/>
  <c r="W165" i="49"/>
  <c r="Q165" i="49"/>
  <c r="P163" i="49"/>
  <c r="J14" i="49"/>
  <c r="H13" i="49"/>
  <c r="X122" i="49"/>
  <c r="X77" i="49"/>
  <c r="X114" i="49"/>
  <c r="T45" i="49"/>
  <c r="M45" i="49" s="1"/>
  <c r="X15" i="49"/>
  <c r="W17" i="49"/>
  <c r="AA18" i="49"/>
  <c r="Y14" i="49"/>
  <c r="W22" i="49"/>
  <c r="W26" i="49"/>
  <c r="AA26" i="49"/>
  <c r="X17" i="49"/>
  <c r="AA16" i="49"/>
  <c r="X21" i="49"/>
  <c r="Y23" i="49"/>
  <c r="R14" i="49"/>
  <c r="AA17" i="49"/>
  <c r="X18" i="49"/>
  <c r="AA22" i="49"/>
  <c r="X23" i="49"/>
  <c r="X26" i="49"/>
  <c r="X27" i="49"/>
  <c r="W34" i="49"/>
  <c r="X35" i="49"/>
  <c r="AA43" i="49"/>
  <c r="W46" i="49"/>
  <c r="Y46" i="49"/>
  <c r="W47" i="49"/>
  <c r="AA51" i="49"/>
  <c r="Y52" i="49"/>
  <c r="W52" i="49"/>
  <c r="X54" i="49"/>
  <c r="X62" i="49"/>
  <c r="Y70" i="49"/>
  <c r="Y71" i="49"/>
  <c r="Y72" i="49"/>
  <c r="Y73" i="49"/>
  <c r="Y74" i="49"/>
  <c r="Y75" i="49"/>
  <c r="Y76" i="49"/>
  <c r="X82" i="49"/>
  <c r="X81" i="49" s="1"/>
  <c r="AA82" i="49"/>
  <c r="Y27" i="49"/>
  <c r="Y36" i="49"/>
  <c r="W36" i="49"/>
  <c r="Y58" i="49"/>
  <c r="AA57" i="49"/>
  <c r="Y63" i="49"/>
  <c r="W63" i="49"/>
  <c r="X65" i="49"/>
  <c r="X128" i="49"/>
  <c r="K171" i="49"/>
  <c r="G171" i="49"/>
  <c r="H171" i="49"/>
  <c r="Y22" i="49"/>
  <c r="W24" i="49"/>
  <c r="X25" i="49"/>
  <c r="Y26" i="49"/>
  <c r="W28" i="49"/>
  <c r="P45" i="49"/>
  <c r="R45" i="49"/>
  <c r="B177" i="49"/>
  <c r="B12" i="49" s="1"/>
  <c r="P14" i="49"/>
  <c r="AA23" i="49"/>
  <c r="AA27" i="49"/>
  <c r="AA35" i="49"/>
  <c r="Y41" i="49"/>
  <c r="X58" i="49"/>
  <c r="X57" i="49" s="1"/>
  <c r="AA66" i="49"/>
  <c r="W81" i="49"/>
  <c r="Y81" i="49"/>
  <c r="H104" i="49"/>
  <c r="G104" i="49"/>
  <c r="L102" i="49"/>
  <c r="K104" i="49"/>
  <c r="Y39" i="49"/>
  <c r="W39" i="49"/>
  <c r="X39" i="49"/>
  <c r="W16" i="49"/>
  <c r="Y17" i="49"/>
  <c r="K13" i="49"/>
  <c r="W23" i="49"/>
  <c r="W27" i="49"/>
  <c r="Y33" i="49"/>
  <c r="W37" i="49"/>
  <c r="AA39" i="49"/>
  <c r="F41" i="49"/>
  <c r="W41" i="49" s="1"/>
  <c r="AA41" i="49"/>
  <c r="Y43" i="49"/>
  <c r="AA44" i="49"/>
  <c r="I46" i="49"/>
  <c r="Y47" i="49"/>
  <c r="AA50" i="49"/>
  <c r="AA55" i="49"/>
  <c r="AA56" i="49"/>
  <c r="Y57" i="49"/>
  <c r="W57" i="49"/>
  <c r="P57" i="49"/>
  <c r="R57" i="49"/>
  <c r="W58" i="49"/>
  <c r="AA58" i="49"/>
  <c r="AA71" i="49"/>
  <c r="AA72" i="49"/>
  <c r="AA73" i="49"/>
  <c r="AA74" i="49"/>
  <c r="AA75" i="49"/>
  <c r="AA76" i="49"/>
  <c r="X37" i="49"/>
  <c r="Y40" i="49"/>
  <c r="Y42" i="49"/>
  <c r="X44" i="49"/>
  <c r="V49" i="49"/>
  <c r="V50" i="49"/>
  <c r="V51" i="49"/>
  <c r="X55" i="49"/>
  <c r="X56" i="49"/>
  <c r="AA62" i="49"/>
  <c r="Y62" i="49"/>
  <c r="Y78" i="49"/>
  <c r="W78" i="49"/>
  <c r="X84" i="49"/>
  <c r="W87" i="49"/>
  <c r="W95" i="49"/>
  <c r="W96" i="49"/>
  <c r="W97" i="49"/>
  <c r="W98" i="49"/>
  <c r="W99" i="49"/>
  <c r="W100" i="49"/>
  <c r="W101" i="49"/>
  <c r="P102" i="49"/>
  <c r="R102" i="49"/>
  <c r="W103" i="49"/>
  <c r="AA102" i="49"/>
  <c r="X105" i="49"/>
  <c r="X102" i="49" s="1"/>
  <c r="W62" i="49"/>
  <c r="Y66" i="49"/>
  <c r="W66" i="49"/>
  <c r="K77" i="49"/>
  <c r="G77" i="49"/>
  <c r="Y80" i="49"/>
  <c r="W80" i="49"/>
  <c r="AA81" i="49"/>
  <c r="Y82" i="49"/>
  <c r="W82" i="49"/>
  <c r="AA84" i="49"/>
  <c r="X85" i="49"/>
  <c r="AA87" i="49"/>
  <c r="Y91" i="49"/>
  <c r="W91" i="49"/>
  <c r="AA92" i="49"/>
  <c r="AA105" i="49"/>
  <c r="W112" i="49"/>
  <c r="Y112" i="49"/>
  <c r="G46" i="49"/>
  <c r="W48" i="49"/>
  <c r="W49" i="49"/>
  <c r="W50" i="49"/>
  <c r="W51" i="49"/>
  <c r="W59" i="49"/>
  <c r="G63" i="49"/>
  <c r="K69" i="49"/>
  <c r="G69" i="49"/>
  <c r="H77" i="49"/>
  <c r="AA77" i="49"/>
  <c r="W83" i="49"/>
  <c r="AA83" i="49"/>
  <c r="AA85" i="49"/>
  <c r="AA93" i="49"/>
  <c r="W105" i="49"/>
  <c r="X95" i="49"/>
  <c r="X96" i="49"/>
  <c r="X97" i="49"/>
  <c r="X98" i="49"/>
  <c r="X99" i="49"/>
  <c r="X100" i="49"/>
  <c r="X101" i="49"/>
  <c r="W116" i="49"/>
  <c r="W117" i="49"/>
  <c r="Y117" i="49"/>
  <c r="W124" i="49"/>
  <c r="Y124" i="49"/>
  <c r="N177" i="49"/>
  <c r="N181" i="49" s="1"/>
  <c r="W158" i="49"/>
  <c r="Y158" i="49"/>
  <c r="W175" i="49"/>
  <c r="Y83" i="49"/>
  <c r="Y84" i="49"/>
  <c r="Y85" i="49"/>
  <c r="Y92" i="49"/>
  <c r="Y93" i="49"/>
  <c r="X118" i="49"/>
  <c r="X117" i="49" s="1"/>
  <c r="L121" i="49"/>
  <c r="K122" i="49"/>
  <c r="G122" i="49"/>
  <c r="W125" i="49"/>
  <c r="Y126" i="49"/>
  <c r="W131" i="49"/>
  <c r="Y134" i="49"/>
  <c r="W134" i="49"/>
  <c r="W79" i="49"/>
  <c r="G81" i="49"/>
  <c r="W84" i="49"/>
  <c r="W85" i="49"/>
  <c r="W88" i="49"/>
  <c r="W92" i="49"/>
  <c r="W93" i="49"/>
  <c r="H105" i="49"/>
  <c r="Y106" i="49"/>
  <c r="W106" i="49"/>
  <c r="Y115" i="49"/>
  <c r="H122" i="49"/>
  <c r="T121" i="49"/>
  <c r="M121" i="49" s="1"/>
  <c r="M122" i="49"/>
  <c r="AA121" i="49" s="1"/>
  <c r="W126" i="49"/>
  <c r="AA126" i="49"/>
  <c r="Y123" i="49"/>
  <c r="Y125" i="49"/>
  <c r="Y127" i="49"/>
  <c r="K136" i="49"/>
  <c r="G136" i="49"/>
  <c r="W137" i="49"/>
  <c r="W141" i="49"/>
  <c r="W145" i="49"/>
  <c r="X145" i="49"/>
  <c r="K147" i="49"/>
  <c r="G147" i="49"/>
  <c r="W148" i="49"/>
  <c r="W150" i="49"/>
  <c r="Y131" i="49"/>
  <c r="Y139" i="49"/>
  <c r="W139" i="49"/>
  <c r="AA144" i="49"/>
  <c r="W151" i="49"/>
  <c r="Y151" i="49"/>
  <c r="K163" i="49"/>
  <c r="G163" i="49"/>
  <c r="AA168" i="49"/>
  <c r="W118" i="49"/>
  <c r="Y133" i="49"/>
  <c r="W133" i="49"/>
  <c r="Y135" i="49"/>
  <c r="W138" i="49"/>
  <c r="Y142" i="49"/>
  <c r="X142" i="49"/>
  <c r="AA141" i="49"/>
  <c r="Y149" i="49"/>
  <c r="W149" i="49"/>
  <c r="AA148" i="49"/>
  <c r="X149" i="49"/>
  <c r="W140" i="49"/>
  <c r="W144" i="49"/>
  <c r="AA147" i="49"/>
  <c r="Y153" i="49"/>
  <c r="AA165" i="49"/>
  <c r="Y174" i="49"/>
  <c r="V180" i="49"/>
  <c r="V179" i="49" s="1"/>
  <c r="J180" i="49"/>
  <c r="G150" i="49"/>
  <c r="AA152" i="49"/>
  <c r="W153" i="49"/>
  <c r="Y155" i="49"/>
  <c r="T155" i="49"/>
  <c r="M155" i="49" s="1"/>
  <c r="AA154" i="49" s="1"/>
  <c r="M158" i="49"/>
  <c r="AA157" i="49" s="1"/>
  <c r="AA164" i="49"/>
  <c r="W166" i="49"/>
  <c r="H168" i="49"/>
  <c r="I163" i="49"/>
  <c r="H163" i="49" s="1"/>
  <c r="X169" i="49"/>
  <c r="M171" i="49"/>
  <c r="AA170" i="49" s="1"/>
  <c r="J179" i="49"/>
  <c r="X152" i="49"/>
  <c r="W157" i="49"/>
  <c r="W160" i="49"/>
  <c r="Y165" i="49"/>
  <c r="W167" i="49"/>
  <c r="X167" i="49"/>
  <c r="AA166" i="49"/>
  <c r="W169" i="49"/>
  <c r="Y160" i="49"/>
  <c r="Y166" i="49"/>
  <c r="Y169" i="49"/>
  <c r="S177" i="49"/>
  <c r="W154" i="49"/>
  <c r="G155" i="49"/>
  <c r="W172" i="49"/>
  <c r="G174" i="49"/>
  <c r="AA163" i="49" l="1"/>
  <c r="X164" i="49"/>
  <c r="J13" i="49"/>
  <c r="P177" i="49"/>
  <c r="P181" i="49" s="1"/>
  <c r="S181" i="49"/>
  <c r="R177" i="49"/>
  <c r="X153" i="49"/>
  <c r="AA162" i="49"/>
  <c r="H121" i="49"/>
  <c r="K121" i="49"/>
  <c r="G121" i="49"/>
  <c r="W69" i="49"/>
  <c r="Y69" i="49"/>
  <c r="X80" i="49"/>
  <c r="AA86" i="49"/>
  <c r="X87" i="49"/>
  <c r="X86" i="49" s="1"/>
  <c r="X45" i="49" s="1"/>
  <c r="X70" i="49"/>
  <c r="X69" i="49" s="1"/>
  <c r="I45" i="49"/>
  <c r="I177" i="49" s="1"/>
  <c r="I181" i="49" s="1"/>
  <c r="H46" i="49"/>
  <c r="W74" i="49"/>
  <c r="X73" i="49"/>
  <c r="W70" i="49"/>
  <c r="X28" i="49"/>
  <c r="X162" i="49"/>
  <c r="X174" i="49"/>
  <c r="Z173" i="49"/>
  <c r="W135" i="49"/>
  <c r="X133" i="49"/>
  <c r="X166" i="49"/>
  <c r="X175" i="49"/>
  <c r="AA150" i="49"/>
  <c r="X93" i="49"/>
  <c r="X83" i="49"/>
  <c r="X144" i="49"/>
  <c r="AA143" i="49"/>
  <c r="AA70" i="49"/>
  <c r="W75" i="49"/>
  <c r="X74" i="49"/>
  <c r="W71" i="49"/>
  <c r="X24" i="49"/>
  <c r="Y13" i="49"/>
  <c r="X135" i="49"/>
  <c r="W147" i="49"/>
  <c r="Y147" i="49"/>
  <c r="X140" i="49"/>
  <c r="AA139" i="49"/>
  <c r="X47" i="49"/>
  <c r="X46" i="49" s="1"/>
  <c r="X33" i="49"/>
  <c r="Y104" i="49"/>
  <c r="W104" i="49"/>
  <c r="W76" i="49"/>
  <c r="X75" i="49"/>
  <c r="W72" i="49"/>
  <c r="X71" i="49"/>
  <c r="X20" i="49"/>
  <c r="R13" i="49"/>
  <c r="X165" i="49"/>
  <c r="T177" i="49"/>
  <c r="T181" i="49" s="1"/>
  <c r="W142" i="49"/>
  <c r="W163" i="49"/>
  <c r="Y163" i="49"/>
  <c r="X151" i="49"/>
  <c r="AA136" i="49"/>
  <c r="X137" i="49"/>
  <c r="W136" i="49"/>
  <c r="Y136" i="49"/>
  <c r="X134" i="49"/>
  <c r="Z133" i="49"/>
  <c r="W122" i="49"/>
  <c r="Y122" i="49"/>
  <c r="X92" i="49"/>
  <c r="W77" i="49"/>
  <c r="Y77" i="49"/>
  <c r="H102" i="49"/>
  <c r="G102" i="49"/>
  <c r="L45" i="49"/>
  <c r="K102" i="49"/>
  <c r="U170" i="49"/>
  <c r="D170" i="49" s="1"/>
  <c r="U164" i="49"/>
  <c r="U162" i="49"/>
  <c r="D162" i="49" s="1"/>
  <c r="C162" i="49" s="1"/>
  <c r="V162" i="49" s="1"/>
  <c r="U159" i="49"/>
  <c r="D159" i="49" s="1"/>
  <c r="C159" i="49" s="1"/>
  <c r="U152" i="49"/>
  <c r="D152" i="49" s="1"/>
  <c r="C152" i="49" s="1"/>
  <c r="U175" i="49"/>
  <c r="D175" i="49" s="1"/>
  <c r="C175" i="49" s="1"/>
  <c r="V175" i="49" s="1"/>
  <c r="U172" i="49"/>
  <c r="U168" i="49"/>
  <c r="D168" i="49" s="1"/>
  <c r="C168" i="49" s="1"/>
  <c r="U165" i="49"/>
  <c r="D165" i="49" s="1"/>
  <c r="C165" i="49" s="1"/>
  <c r="V165" i="49" s="1"/>
  <c r="U161" i="49"/>
  <c r="D161" i="49" s="1"/>
  <c r="C161" i="49" s="1"/>
  <c r="V161" i="49" s="1"/>
  <c r="U154" i="49"/>
  <c r="D154" i="49" s="1"/>
  <c r="C154" i="49" s="1"/>
  <c r="U169" i="49"/>
  <c r="D169" i="49" s="1"/>
  <c r="C169" i="49" s="1"/>
  <c r="U166" i="49"/>
  <c r="D166" i="49" s="1"/>
  <c r="C166" i="49" s="1"/>
  <c r="U160" i="49"/>
  <c r="D160" i="49" s="1"/>
  <c r="C160" i="49" s="1"/>
  <c r="V160" i="49" s="1"/>
  <c r="U158" i="49"/>
  <c r="D158" i="49" s="1"/>
  <c r="C158" i="49" s="1"/>
  <c r="U153" i="49"/>
  <c r="D153" i="49" s="1"/>
  <c r="C153" i="49" s="1"/>
  <c r="V153" i="49" s="1"/>
  <c r="U156" i="49"/>
  <c r="U149" i="49"/>
  <c r="D149" i="49" s="1"/>
  <c r="C149" i="49" s="1"/>
  <c r="U143" i="49"/>
  <c r="D143" i="49" s="1"/>
  <c r="C143" i="49" s="1"/>
  <c r="U139" i="49"/>
  <c r="D139" i="49" s="1"/>
  <c r="C139" i="49" s="1"/>
  <c r="U134" i="49"/>
  <c r="D134" i="49" s="1"/>
  <c r="U132" i="49"/>
  <c r="D132" i="49" s="1"/>
  <c r="C132" i="49" s="1"/>
  <c r="Z131" i="49" s="1"/>
  <c r="U151" i="49"/>
  <c r="D151" i="49" s="1"/>
  <c r="C151" i="49" s="1"/>
  <c r="V151" i="49" s="1"/>
  <c r="U145" i="49"/>
  <c r="D145" i="49" s="1"/>
  <c r="C145" i="49" s="1"/>
  <c r="U144" i="49"/>
  <c r="D144" i="49" s="1"/>
  <c r="C144" i="49" s="1"/>
  <c r="U140" i="49"/>
  <c r="D140" i="49" s="1"/>
  <c r="C140" i="49" s="1"/>
  <c r="U137" i="49"/>
  <c r="U127" i="49"/>
  <c r="D127" i="49" s="1"/>
  <c r="C127" i="49" s="1"/>
  <c r="U173" i="49"/>
  <c r="D173" i="49" s="1"/>
  <c r="U167" i="49"/>
  <c r="D167" i="49" s="1"/>
  <c r="C167" i="49" s="1"/>
  <c r="U157" i="49"/>
  <c r="D157" i="49" s="1"/>
  <c r="C157" i="49" s="1"/>
  <c r="U146" i="49"/>
  <c r="D146" i="49" s="1"/>
  <c r="U142" i="49"/>
  <c r="D142" i="49" s="1"/>
  <c r="C142" i="49" s="1"/>
  <c r="U135" i="49"/>
  <c r="D135" i="49" s="1"/>
  <c r="C135" i="49" s="1"/>
  <c r="V135" i="49" s="1"/>
  <c r="U133" i="49"/>
  <c r="D133" i="49" s="1"/>
  <c r="C133" i="49" s="1"/>
  <c r="V133" i="49" s="1"/>
  <c r="U131" i="49"/>
  <c r="D131" i="49" s="1"/>
  <c r="C131" i="49" s="1"/>
  <c r="U118" i="49"/>
  <c r="D118" i="49" s="1"/>
  <c r="C118" i="49" s="1"/>
  <c r="V118" i="49" s="1"/>
  <c r="U111" i="49"/>
  <c r="D111" i="49" s="1"/>
  <c r="C111" i="49" s="1"/>
  <c r="V111" i="49" s="1"/>
  <c r="U106" i="49"/>
  <c r="D106" i="49" s="1"/>
  <c r="C106" i="49" s="1"/>
  <c r="U104" i="49"/>
  <c r="D104" i="49" s="1"/>
  <c r="C104" i="49" s="1"/>
  <c r="U174" i="49"/>
  <c r="D174" i="49" s="1"/>
  <c r="U148" i="49"/>
  <c r="U141" i="49"/>
  <c r="D141" i="49" s="1"/>
  <c r="C141" i="49" s="1"/>
  <c r="U126" i="49"/>
  <c r="D126" i="49" s="1"/>
  <c r="C126" i="49" s="1"/>
  <c r="U124" i="49"/>
  <c r="D124" i="49" s="1"/>
  <c r="C124" i="49" s="1"/>
  <c r="U109" i="49"/>
  <c r="U138" i="49"/>
  <c r="D138" i="49" s="1"/>
  <c r="C138" i="49" s="1"/>
  <c r="U128" i="49"/>
  <c r="D128" i="49" s="1"/>
  <c r="C128" i="49" s="1"/>
  <c r="U125" i="49"/>
  <c r="D125" i="49" s="1"/>
  <c r="C125" i="49" s="1"/>
  <c r="U123" i="49"/>
  <c r="U117" i="49"/>
  <c r="D117" i="49" s="1"/>
  <c r="C117" i="49" s="1"/>
  <c r="V117" i="49" s="1"/>
  <c r="U116" i="49"/>
  <c r="D116" i="49" s="1"/>
  <c r="C116" i="49" s="1"/>
  <c r="V116" i="49" s="1"/>
  <c r="U113" i="49"/>
  <c r="D113" i="49" s="1"/>
  <c r="C113" i="49" s="1"/>
  <c r="V113" i="49" s="1"/>
  <c r="U110" i="49"/>
  <c r="D110" i="49" s="1"/>
  <c r="C110" i="49" s="1"/>
  <c r="V110" i="49" s="1"/>
  <c r="U88" i="49"/>
  <c r="D88" i="49" s="1"/>
  <c r="C88" i="49" s="1"/>
  <c r="U82" i="49"/>
  <c r="U80" i="49"/>
  <c r="D80" i="49" s="1"/>
  <c r="C80" i="49" s="1"/>
  <c r="V80" i="49" s="1"/>
  <c r="U79" i="49"/>
  <c r="D79" i="49" s="1"/>
  <c r="C79" i="49" s="1"/>
  <c r="U76" i="49"/>
  <c r="D76" i="49" s="1"/>
  <c r="C76" i="49" s="1"/>
  <c r="V76" i="49" s="1"/>
  <c r="U75" i="49"/>
  <c r="D75" i="49" s="1"/>
  <c r="C75" i="49" s="1"/>
  <c r="V75" i="49" s="1"/>
  <c r="U74" i="49"/>
  <c r="D74" i="49" s="1"/>
  <c r="C74" i="49" s="1"/>
  <c r="V74" i="49" s="1"/>
  <c r="U73" i="49"/>
  <c r="D73" i="49" s="1"/>
  <c r="C73" i="49" s="1"/>
  <c r="V73" i="49" s="1"/>
  <c r="U72" i="49"/>
  <c r="D72" i="49" s="1"/>
  <c r="C72" i="49" s="1"/>
  <c r="V72" i="49" s="1"/>
  <c r="U71" i="49"/>
  <c r="D71" i="49" s="1"/>
  <c r="C71" i="49" s="1"/>
  <c r="V71" i="49" s="1"/>
  <c r="U70" i="49"/>
  <c r="U68" i="49"/>
  <c r="D68" i="49" s="1"/>
  <c r="C68" i="49" s="1"/>
  <c r="U67" i="49"/>
  <c r="D67" i="49" s="1"/>
  <c r="C67" i="49" s="1"/>
  <c r="U66" i="49"/>
  <c r="D66" i="49" s="1"/>
  <c r="C66" i="49" s="1"/>
  <c r="U150" i="49"/>
  <c r="D150" i="49" s="1"/>
  <c r="C150" i="49" s="1"/>
  <c r="V150" i="49" s="1"/>
  <c r="U120" i="49"/>
  <c r="D120" i="49" s="1"/>
  <c r="U105" i="49"/>
  <c r="D105" i="49" s="1"/>
  <c r="C105" i="49" s="1"/>
  <c r="V105" i="49" s="1"/>
  <c r="U93" i="49"/>
  <c r="D93" i="49" s="1"/>
  <c r="C93" i="49" s="1"/>
  <c r="U92" i="49"/>
  <c r="D92" i="49" s="1"/>
  <c r="C92" i="49" s="1"/>
  <c r="U91" i="49"/>
  <c r="D91" i="49" s="1"/>
  <c r="C91" i="49" s="1"/>
  <c r="U87" i="49"/>
  <c r="U85" i="49"/>
  <c r="D85" i="49" s="1"/>
  <c r="C85" i="49" s="1"/>
  <c r="U84" i="49"/>
  <c r="D84" i="49" s="1"/>
  <c r="C84" i="49" s="1"/>
  <c r="U83" i="49"/>
  <c r="D83" i="49" s="1"/>
  <c r="C83" i="49" s="1"/>
  <c r="U78" i="49"/>
  <c r="U112" i="49"/>
  <c r="D112" i="49" s="1"/>
  <c r="C112" i="49" s="1"/>
  <c r="V112" i="49" s="1"/>
  <c r="U103" i="49"/>
  <c r="U89" i="49"/>
  <c r="D89" i="49" s="1"/>
  <c r="C89" i="49" s="1"/>
  <c r="U59" i="49"/>
  <c r="D59" i="49" s="1"/>
  <c r="C59" i="49" s="1"/>
  <c r="U52" i="49"/>
  <c r="D52" i="49" s="1"/>
  <c r="C52" i="49" s="1"/>
  <c r="V52" i="49" s="1"/>
  <c r="U51" i="49"/>
  <c r="U50" i="49"/>
  <c r="U49" i="49"/>
  <c r="U48" i="49"/>
  <c r="D48" i="49" s="1"/>
  <c r="C48" i="49" s="1"/>
  <c r="U43" i="49"/>
  <c r="D43" i="49" s="1"/>
  <c r="C43" i="49" s="1"/>
  <c r="V43" i="49" s="1"/>
  <c r="U41" i="49"/>
  <c r="D41" i="49" s="1"/>
  <c r="C41" i="49" s="1"/>
  <c r="V41" i="49" s="1"/>
  <c r="U33" i="49"/>
  <c r="D33" i="49" s="1"/>
  <c r="C33" i="49" s="1"/>
  <c r="V33" i="49" s="1"/>
  <c r="U30" i="49"/>
  <c r="D30" i="49" s="1"/>
  <c r="C30" i="49" s="1"/>
  <c r="U29" i="49"/>
  <c r="D29" i="49" s="1"/>
  <c r="C29" i="49" s="1"/>
  <c r="U25" i="49"/>
  <c r="D25" i="49" s="1"/>
  <c r="C25" i="49" s="1"/>
  <c r="U21" i="49"/>
  <c r="D21" i="49" s="1"/>
  <c r="C21" i="49" s="1"/>
  <c r="U115" i="49"/>
  <c r="U64" i="49"/>
  <c r="U61" i="49"/>
  <c r="D61" i="49" s="1"/>
  <c r="C61" i="49" s="1"/>
  <c r="U58" i="49"/>
  <c r="U47" i="49"/>
  <c r="U39" i="49"/>
  <c r="D39" i="49" s="1"/>
  <c r="C39" i="49" s="1"/>
  <c r="U36" i="49"/>
  <c r="D36" i="49" s="1"/>
  <c r="C36" i="49" s="1"/>
  <c r="U107" i="49"/>
  <c r="D107" i="49" s="1"/>
  <c r="C107" i="49" s="1"/>
  <c r="V107" i="49" s="1"/>
  <c r="U90" i="49"/>
  <c r="D90" i="49" s="1"/>
  <c r="C90" i="49" s="1"/>
  <c r="U65" i="49"/>
  <c r="D65" i="49" s="1"/>
  <c r="C65" i="49" s="1"/>
  <c r="U53" i="49"/>
  <c r="D53" i="49" s="1"/>
  <c r="C53" i="49" s="1"/>
  <c r="Z53" i="49" s="1"/>
  <c r="U38" i="49"/>
  <c r="D38" i="49" s="1"/>
  <c r="C38" i="49" s="1"/>
  <c r="U32" i="49"/>
  <c r="D32" i="49" s="1"/>
  <c r="C32" i="49" s="1"/>
  <c r="U100" i="49"/>
  <c r="D100" i="49" s="1"/>
  <c r="C100" i="49" s="1"/>
  <c r="U96" i="49"/>
  <c r="D96" i="49" s="1"/>
  <c r="C96" i="49" s="1"/>
  <c r="U56" i="49"/>
  <c r="D56" i="49" s="1"/>
  <c r="C56" i="49" s="1"/>
  <c r="U55" i="49"/>
  <c r="D55" i="49" s="1"/>
  <c r="C55" i="49" s="1"/>
  <c r="U54" i="49"/>
  <c r="D54" i="49" s="1"/>
  <c r="C54" i="49" s="1"/>
  <c r="U44" i="49"/>
  <c r="D44" i="49" s="1"/>
  <c r="C44" i="49" s="1"/>
  <c r="U28" i="49"/>
  <c r="D28" i="49" s="1"/>
  <c r="C28" i="49" s="1"/>
  <c r="V28" i="49" s="1"/>
  <c r="U24" i="49"/>
  <c r="D24" i="49" s="1"/>
  <c r="C24" i="49" s="1"/>
  <c r="V24" i="49" s="1"/>
  <c r="U20" i="49"/>
  <c r="D20" i="49" s="1"/>
  <c r="C20" i="49" s="1"/>
  <c r="V20" i="49" s="1"/>
  <c r="U16" i="49"/>
  <c r="D16" i="49" s="1"/>
  <c r="C16" i="49" s="1"/>
  <c r="U14" i="49"/>
  <c r="U17" i="49"/>
  <c r="D17" i="49" s="1"/>
  <c r="C17" i="49" s="1"/>
  <c r="U101" i="49"/>
  <c r="D101" i="49" s="1"/>
  <c r="C101" i="49" s="1"/>
  <c r="U97" i="49"/>
  <c r="D97" i="49" s="1"/>
  <c r="C97" i="49" s="1"/>
  <c r="U62" i="49"/>
  <c r="D62" i="49" s="1"/>
  <c r="C62" i="49" s="1"/>
  <c r="U42" i="49"/>
  <c r="D42" i="49" s="1"/>
  <c r="C42" i="49" s="1"/>
  <c r="U35" i="49"/>
  <c r="D35" i="49" s="1"/>
  <c r="C35" i="49" s="1"/>
  <c r="U27" i="49"/>
  <c r="D27" i="49" s="1"/>
  <c r="C27" i="49" s="1"/>
  <c r="U26" i="49"/>
  <c r="D26" i="49" s="1"/>
  <c r="C26" i="49" s="1"/>
  <c r="U23" i="49"/>
  <c r="D23" i="49" s="1"/>
  <c r="C23" i="49" s="1"/>
  <c r="U22" i="49"/>
  <c r="D22" i="49" s="1"/>
  <c r="C22" i="49" s="1"/>
  <c r="U98" i="49"/>
  <c r="D98" i="49" s="1"/>
  <c r="C98" i="49" s="1"/>
  <c r="U60" i="49"/>
  <c r="D60" i="49" s="1"/>
  <c r="C60" i="49" s="1"/>
  <c r="U40" i="49"/>
  <c r="D40" i="49" s="1"/>
  <c r="C40" i="49" s="1"/>
  <c r="U18" i="49"/>
  <c r="D18" i="49" s="1"/>
  <c r="C18" i="49" s="1"/>
  <c r="U15" i="49"/>
  <c r="D15" i="49" s="1"/>
  <c r="C15" i="49" s="1"/>
  <c r="U99" i="49"/>
  <c r="D99" i="49" s="1"/>
  <c r="C99" i="49" s="1"/>
  <c r="U95" i="49"/>
  <c r="D95" i="49" s="1"/>
  <c r="C95" i="49" s="1"/>
  <c r="U37" i="49"/>
  <c r="D37" i="49" s="1"/>
  <c r="C37" i="49" s="1"/>
  <c r="U34" i="49"/>
  <c r="D34" i="49" s="1"/>
  <c r="C34" i="49" s="1"/>
  <c r="U19" i="49"/>
  <c r="D19" i="49" s="1"/>
  <c r="C19" i="49" s="1"/>
  <c r="W171" i="49"/>
  <c r="Y171" i="49"/>
  <c r="X76" i="49"/>
  <c r="W73" i="49"/>
  <c r="X72" i="49"/>
  <c r="Z72" i="49"/>
  <c r="X52" i="49"/>
  <c r="X22" i="49"/>
  <c r="Z76" i="49" l="1"/>
  <c r="X121" i="49"/>
  <c r="Z52" i="49"/>
  <c r="V37" i="49"/>
  <c r="Z37" i="49"/>
  <c r="V18" i="49"/>
  <c r="Z18" i="49"/>
  <c r="V22" i="49"/>
  <c r="Z22" i="49"/>
  <c r="V35" i="49"/>
  <c r="Z35" i="49"/>
  <c r="V101" i="49"/>
  <c r="Z101" i="49"/>
  <c r="V54" i="49"/>
  <c r="Z54" i="49"/>
  <c r="V100" i="49"/>
  <c r="Z100" i="49"/>
  <c r="V65" i="49"/>
  <c r="Z65" i="49"/>
  <c r="Z39" i="49"/>
  <c r="V39" i="49"/>
  <c r="D64" i="49"/>
  <c r="C64" i="49" s="1"/>
  <c r="U63" i="49"/>
  <c r="D63" i="49" s="1"/>
  <c r="C63" i="49" s="1"/>
  <c r="V29" i="49"/>
  <c r="Z29" i="49"/>
  <c r="D103" i="49"/>
  <c r="C103" i="49" s="1"/>
  <c r="U102" i="49"/>
  <c r="D102" i="49" s="1"/>
  <c r="C102" i="49" s="1"/>
  <c r="V84" i="49"/>
  <c r="Z84" i="49"/>
  <c r="V92" i="49"/>
  <c r="Z92" i="49"/>
  <c r="U69" i="49"/>
  <c r="D69" i="49" s="1"/>
  <c r="C69" i="49" s="1"/>
  <c r="D70" i="49"/>
  <c r="C70" i="49" s="1"/>
  <c r="Z124" i="49"/>
  <c r="V125" i="49"/>
  <c r="V124" i="49"/>
  <c r="Z123" i="49"/>
  <c r="Z141" i="49"/>
  <c r="V142" i="49"/>
  <c r="V144" i="49"/>
  <c r="Z143" i="49"/>
  <c r="D156" i="49"/>
  <c r="C156" i="49" s="1"/>
  <c r="U155" i="49"/>
  <c r="V166" i="49"/>
  <c r="Z165" i="49"/>
  <c r="V152" i="49"/>
  <c r="Z151" i="49"/>
  <c r="H45" i="49"/>
  <c r="H177" i="49" s="1"/>
  <c r="H181" i="49" s="1"/>
  <c r="G45" i="49"/>
  <c r="Z149" i="49"/>
  <c r="AA13" i="49"/>
  <c r="X14" i="49"/>
  <c r="AA14" i="49"/>
  <c r="Z74" i="49"/>
  <c r="L177" i="49"/>
  <c r="L2" i="49" s="1"/>
  <c r="Z28" i="49"/>
  <c r="R181" i="49"/>
  <c r="V95" i="49"/>
  <c r="Z95" i="49"/>
  <c r="V40" i="49"/>
  <c r="Z40" i="49"/>
  <c r="V23" i="49"/>
  <c r="Z23" i="49"/>
  <c r="V42" i="49"/>
  <c r="Z42" i="49"/>
  <c r="V17" i="49"/>
  <c r="Z17" i="49"/>
  <c r="V55" i="49"/>
  <c r="Z55" i="49"/>
  <c r="V32" i="49"/>
  <c r="Z32" i="49"/>
  <c r="Z90" i="49"/>
  <c r="V90" i="49"/>
  <c r="D47" i="49"/>
  <c r="C47" i="49" s="1"/>
  <c r="U46" i="49"/>
  <c r="U114" i="49"/>
  <c r="D114" i="49" s="1"/>
  <c r="C114" i="49" s="1"/>
  <c r="V114" i="49" s="1"/>
  <c r="D115" i="49"/>
  <c r="C115" i="49" s="1"/>
  <c r="V115" i="49" s="1"/>
  <c r="Z30" i="49"/>
  <c r="V30" i="49"/>
  <c r="Z48" i="49"/>
  <c r="V48" i="49"/>
  <c r="V85" i="49"/>
  <c r="Z85" i="49"/>
  <c r="V93" i="49"/>
  <c r="Z93" i="49"/>
  <c r="V66" i="49"/>
  <c r="Z66" i="49"/>
  <c r="D82" i="49"/>
  <c r="C82" i="49" s="1"/>
  <c r="U81" i="49"/>
  <c r="D81" i="49" s="1"/>
  <c r="C81" i="49" s="1"/>
  <c r="V128" i="49"/>
  <c r="Z127" i="49"/>
  <c r="V126" i="49"/>
  <c r="Z125" i="49"/>
  <c r="V104" i="49"/>
  <c r="Z104" i="49"/>
  <c r="V131" i="49"/>
  <c r="Z130" i="49"/>
  <c r="V127" i="49"/>
  <c r="Z126" i="49"/>
  <c r="V145" i="49"/>
  <c r="Z144" i="49"/>
  <c r="Z138" i="49"/>
  <c r="V139" i="49"/>
  <c r="V169" i="49"/>
  <c r="Z168" i="49"/>
  <c r="V168" i="49"/>
  <c r="Z167" i="49"/>
  <c r="Z158" i="49"/>
  <c r="V159" i="49"/>
  <c r="Z150" i="49"/>
  <c r="Z20" i="49"/>
  <c r="Z33" i="49"/>
  <c r="Z24" i="49"/>
  <c r="W14" i="49"/>
  <c r="W13" i="49" s="1"/>
  <c r="Z174" i="49"/>
  <c r="V19" i="49"/>
  <c r="Z19" i="49"/>
  <c r="V99" i="49"/>
  <c r="Z99" i="49"/>
  <c r="Z60" i="49"/>
  <c r="V60" i="49"/>
  <c r="V26" i="49"/>
  <c r="Z26" i="49"/>
  <c r="V62" i="49"/>
  <c r="Z62" i="49"/>
  <c r="D14" i="49"/>
  <c r="U13" i="49"/>
  <c r="V56" i="49"/>
  <c r="Z56" i="49"/>
  <c r="V38" i="49"/>
  <c r="Z38" i="49"/>
  <c r="D58" i="49"/>
  <c r="C58" i="49" s="1"/>
  <c r="U57" i="49"/>
  <c r="D57" i="49" s="1"/>
  <c r="C57" i="49" s="1"/>
  <c r="V21" i="49"/>
  <c r="Z21" i="49"/>
  <c r="Z59" i="49"/>
  <c r="V59" i="49"/>
  <c r="U77" i="49"/>
  <c r="D77" i="49" s="1"/>
  <c r="C77" i="49" s="1"/>
  <c r="D78" i="49"/>
  <c r="C78" i="49" s="1"/>
  <c r="D87" i="49"/>
  <c r="C87" i="49" s="1"/>
  <c r="U86" i="49"/>
  <c r="D86" i="49" s="1"/>
  <c r="C86" i="49" s="1"/>
  <c r="Z105" i="49"/>
  <c r="V67" i="49"/>
  <c r="Z67" i="49"/>
  <c r="Z88" i="49"/>
  <c r="V88" i="49"/>
  <c r="Z137" i="49"/>
  <c r="V138" i="49"/>
  <c r="Z140" i="49"/>
  <c r="V141" i="49"/>
  <c r="Z106" i="49"/>
  <c r="V106" i="49"/>
  <c r="V157" i="49"/>
  <c r="Z156" i="49"/>
  <c r="D137" i="49"/>
  <c r="C137" i="49" s="1"/>
  <c r="U136" i="49"/>
  <c r="D136" i="49" s="1"/>
  <c r="C136" i="49" s="1"/>
  <c r="V143" i="49"/>
  <c r="Z142" i="49"/>
  <c r="V158" i="49"/>
  <c r="Z157" i="49"/>
  <c r="V154" i="49"/>
  <c r="Z153" i="49"/>
  <c r="D172" i="49"/>
  <c r="C172" i="49" s="1"/>
  <c r="U171" i="49"/>
  <c r="M177" i="49"/>
  <c r="Z75" i="49"/>
  <c r="Z43" i="49"/>
  <c r="Z134" i="49"/>
  <c r="AA149" i="49"/>
  <c r="Z80" i="49"/>
  <c r="Z152" i="49"/>
  <c r="V34" i="49"/>
  <c r="Z34" i="49"/>
  <c r="V15" i="49"/>
  <c r="Z15" i="49"/>
  <c r="V98" i="49"/>
  <c r="Z98" i="49"/>
  <c r="V27" i="49"/>
  <c r="Z27" i="49"/>
  <c r="V97" i="49"/>
  <c r="Z97" i="49"/>
  <c r="Z16" i="49"/>
  <c r="V16" i="49"/>
  <c r="V44" i="49"/>
  <c r="Z44" i="49"/>
  <c r="V96" i="49"/>
  <c r="Z96" i="49"/>
  <c r="Z36" i="49"/>
  <c r="V36" i="49"/>
  <c r="V61" i="49"/>
  <c r="Z61" i="49"/>
  <c r="V25" i="49"/>
  <c r="Z25" i="49"/>
  <c r="Z89" i="49"/>
  <c r="V89" i="49"/>
  <c r="V83" i="49"/>
  <c r="Z83" i="49"/>
  <c r="Z91" i="49"/>
  <c r="V91" i="49"/>
  <c r="V68" i="49"/>
  <c r="Z68" i="49"/>
  <c r="Z79" i="49"/>
  <c r="V79" i="49"/>
  <c r="D123" i="49"/>
  <c r="C123" i="49" s="1"/>
  <c r="U122" i="49"/>
  <c r="U108" i="49"/>
  <c r="D109" i="49"/>
  <c r="C109" i="49" s="1"/>
  <c r="V109" i="49" s="1"/>
  <c r="D148" i="49"/>
  <c r="C148" i="49" s="1"/>
  <c r="U147" i="49"/>
  <c r="D147" i="49" s="1"/>
  <c r="C147" i="49" s="1"/>
  <c r="V147" i="49" s="1"/>
  <c r="Z166" i="49"/>
  <c r="V167" i="49"/>
  <c r="V140" i="49"/>
  <c r="Z139" i="49"/>
  <c r="Z148" i="49"/>
  <c r="V149" i="49"/>
  <c r="D164" i="49"/>
  <c r="C164" i="49" s="1"/>
  <c r="U163" i="49"/>
  <c r="D163" i="49" s="1"/>
  <c r="Y102" i="49"/>
  <c r="W102" i="49"/>
  <c r="AA135" i="49"/>
  <c r="AA120" i="49"/>
  <c r="Z164" i="49"/>
  <c r="Z71" i="49"/>
  <c r="Z132" i="49"/>
  <c r="Z161" i="49"/>
  <c r="Z73" i="49"/>
  <c r="Z41" i="49"/>
  <c r="AA69" i="49"/>
  <c r="AA45" i="49"/>
  <c r="Y121" i="49"/>
  <c r="W121" i="49"/>
  <c r="D155" i="49" l="1"/>
  <c r="C155" i="49" s="1"/>
  <c r="Z163" i="49"/>
  <c r="V164" i="49"/>
  <c r="Z147" i="49"/>
  <c r="V148" i="49"/>
  <c r="Z122" i="49"/>
  <c r="V123" i="49"/>
  <c r="Z78" i="49"/>
  <c r="V78" i="49"/>
  <c r="Z82" i="49"/>
  <c r="V82" i="49"/>
  <c r="Z146" i="49"/>
  <c r="V102" i="49"/>
  <c r="Z102" i="49"/>
  <c r="V63" i="49"/>
  <c r="Z63" i="49"/>
  <c r="M181" i="49"/>
  <c r="V77" i="49"/>
  <c r="Z77" i="49"/>
  <c r="U3" i="49"/>
  <c r="U45" i="49"/>
  <c r="D46" i="49"/>
  <c r="C46" i="49" s="1"/>
  <c r="V156" i="49"/>
  <c r="Z155" i="49"/>
  <c r="Z103" i="49"/>
  <c r="V103" i="49"/>
  <c r="Z64" i="49"/>
  <c r="V64" i="49"/>
  <c r="D171" i="49"/>
  <c r="C171" i="49" s="1"/>
  <c r="V136" i="49"/>
  <c r="Z135" i="49"/>
  <c r="V86" i="49"/>
  <c r="Z86" i="49"/>
  <c r="V57" i="49"/>
  <c r="Z57" i="49"/>
  <c r="C14" i="49"/>
  <c r="D13" i="49"/>
  <c r="V47" i="49"/>
  <c r="Z47" i="49"/>
  <c r="L181" i="49"/>
  <c r="K177" i="49"/>
  <c r="G177" i="49"/>
  <c r="G181" i="49" s="1"/>
  <c r="Y45" i="49"/>
  <c r="W45" i="49"/>
  <c r="V70" i="49"/>
  <c r="Z70" i="49"/>
  <c r="C163" i="49"/>
  <c r="U121" i="49"/>
  <c r="D121" i="49" s="1"/>
  <c r="C121" i="49" s="1"/>
  <c r="D122" i="49"/>
  <c r="C122" i="49" s="1"/>
  <c r="AA146" i="49"/>
  <c r="AA176" i="49"/>
  <c r="V172" i="49"/>
  <c r="Z171" i="49"/>
  <c r="V137" i="49"/>
  <c r="Z136" i="49"/>
  <c r="Z87" i="49"/>
  <c r="V87" i="49"/>
  <c r="V58" i="49"/>
  <c r="Z58" i="49"/>
  <c r="V81" i="49"/>
  <c r="Z81" i="49"/>
  <c r="V69" i="49"/>
  <c r="Z69" i="49"/>
  <c r="X181" i="49" l="1"/>
  <c r="X186" i="49" s="1"/>
  <c r="U177" i="49"/>
  <c r="V155" i="49"/>
  <c r="Z154" i="49"/>
  <c r="U181" i="49"/>
  <c r="V163" i="49"/>
  <c r="Z162" i="49"/>
  <c r="C13" i="49"/>
  <c r="Z13" i="49" s="1"/>
  <c r="V14" i="49"/>
  <c r="V13" i="49" s="1"/>
  <c r="Z14" i="49"/>
  <c r="V46" i="49"/>
  <c r="Z46" i="49"/>
  <c r="V122" i="49"/>
  <c r="Z121" i="49"/>
  <c r="V121" i="49"/>
  <c r="Z120" i="49"/>
  <c r="Y177" i="49"/>
  <c r="Y181" i="49" s="1"/>
  <c r="K181" i="49"/>
  <c r="V171" i="49"/>
  <c r="Z170" i="49"/>
  <c r="W177" i="49" l="1"/>
  <c r="W181" i="49" s="1"/>
  <c r="Y186" i="49"/>
  <c r="T83" i="41" l="1"/>
  <c r="M83" i="41" s="1"/>
  <c r="AA11" i="41"/>
  <c r="AA33" i="41"/>
  <c r="AA50" i="41"/>
  <c r="AA66" i="41"/>
  <c r="AA84" i="41"/>
  <c r="AA115" i="41"/>
  <c r="AA142" i="41"/>
  <c r="AA146" i="41"/>
  <c r="AA150" i="41"/>
  <c r="AA154" i="41"/>
  <c r="Z11" i="41"/>
  <c r="Z15" i="41"/>
  <c r="Z16" i="41"/>
  <c r="Z17" i="41"/>
  <c r="Z18" i="41"/>
  <c r="Z19" i="41"/>
  <c r="Z20" i="41"/>
  <c r="Z21" i="41"/>
  <c r="Z22" i="41"/>
  <c r="Z23" i="41"/>
  <c r="Z24" i="41"/>
  <c r="Z25" i="41"/>
  <c r="Z103" i="41"/>
  <c r="Z117" i="41"/>
  <c r="Z129" i="41"/>
  <c r="Z135" i="41"/>
  <c r="Z136" i="41"/>
  <c r="Z137" i="41"/>
  <c r="Z154" i="41"/>
  <c r="Z155" i="41"/>
  <c r="L160" i="41"/>
  <c r="I160" i="41"/>
  <c r="H160" i="41"/>
  <c r="G160" i="41"/>
  <c r="R156" i="41"/>
  <c r="P156" i="41"/>
  <c r="O156" i="41" s="1"/>
  <c r="M156" i="41"/>
  <c r="AA156" i="41" s="1"/>
  <c r="K156" i="41"/>
  <c r="J156" i="41" s="1"/>
  <c r="G156" i="41"/>
  <c r="F156" i="41" s="1"/>
  <c r="X155" i="41"/>
  <c r="P155" i="41"/>
  <c r="M155" i="41"/>
  <c r="AA155" i="41" s="1"/>
  <c r="L155" i="41"/>
  <c r="I155" i="41" s="1"/>
  <c r="H155" i="41" s="1"/>
  <c r="K155" i="41"/>
  <c r="Y155" i="41" s="1"/>
  <c r="G155" i="41"/>
  <c r="F155" i="41" s="1"/>
  <c r="B155" i="41"/>
  <c r="P154" i="41"/>
  <c r="M154" i="41"/>
  <c r="K154" i="41"/>
  <c r="I154" i="41"/>
  <c r="H154" i="41"/>
  <c r="G154" i="41"/>
  <c r="F154" i="41" s="1"/>
  <c r="R153" i="41"/>
  <c r="X153" i="41" s="1"/>
  <c r="P153" i="41"/>
  <c r="O153" i="41" s="1"/>
  <c r="M153" i="41"/>
  <c r="AA153" i="41" s="1"/>
  <c r="K153" i="41"/>
  <c r="Y153" i="41" s="1"/>
  <c r="G153" i="41"/>
  <c r="F153" i="41" s="1"/>
  <c r="E153" i="41"/>
  <c r="T152" i="41"/>
  <c r="S152" i="41"/>
  <c r="R152" i="41"/>
  <c r="Q152" i="41"/>
  <c r="P152" i="41"/>
  <c r="O152" i="41" s="1"/>
  <c r="N152" i="41"/>
  <c r="L152" i="41"/>
  <c r="K152" i="41" s="1"/>
  <c r="Y152" i="41" s="1"/>
  <c r="J152" i="41"/>
  <c r="B152" i="41"/>
  <c r="P151" i="41"/>
  <c r="M151" i="41"/>
  <c r="AA151" i="41" s="1"/>
  <c r="K151" i="41"/>
  <c r="J151" i="41" s="1"/>
  <c r="Z151" i="41" s="1"/>
  <c r="I151" i="41"/>
  <c r="H151" i="41" s="1"/>
  <c r="G151" i="41"/>
  <c r="F151" i="41" s="1"/>
  <c r="R150" i="41"/>
  <c r="Q150" i="41" s="1"/>
  <c r="P150" i="41"/>
  <c r="O150" i="41" s="1"/>
  <c r="M150" i="41"/>
  <c r="K150" i="41"/>
  <c r="J150" i="41"/>
  <c r="X150" i="41" s="1"/>
  <c r="I150" i="41"/>
  <c r="H150" i="41" s="1"/>
  <c r="G150" i="41"/>
  <c r="F150" i="41"/>
  <c r="E150" i="41"/>
  <c r="E144" i="41" s="1"/>
  <c r="R149" i="41"/>
  <c r="Q149" i="41"/>
  <c r="P149" i="41"/>
  <c r="O149" i="41" s="1"/>
  <c r="M149" i="41"/>
  <c r="AA149" i="41" s="1"/>
  <c r="K149" i="41"/>
  <c r="J149" i="41" s="1"/>
  <c r="X149" i="41" s="1"/>
  <c r="I149" i="41"/>
  <c r="H149" i="41" s="1"/>
  <c r="G149" i="41"/>
  <c r="F149" i="41" s="1"/>
  <c r="E149" i="41"/>
  <c r="X148" i="41"/>
  <c r="T148" i="41"/>
  <c r="R148" i="41"/>
  <c r="P148" i="41"/>
  <c r="O148" i="41" s="1"/>
  <c r="K148" i="41"/>
  <c r="Y148" i="41" s="1"/>
  <c r="I148" i="41"/>
  <c r="H148" i="41" s="1"/>
  <c r="G148" i="41"/>
  <c r="F148" i="41" s="1"/>
  <c r="W148" i="41" s="1"/>
  <c r="E148" i="41"/>
  <c r="R147" i="41"/>
  <c r="Q147" i="41" s="1"/>
  <c r="P147" i="41"/>
  <c r="O147" i="41" s="1"/>
  <c r="M147" i="41"/>
  <c r="K147" i="41"/>
  <c r="J147" i="41"/>
  <c r="I147" i="41"/>
  <c r="H147" i="41" s="1"/>
  <c r="G147" i="41"/>
  <c r="F147" i="41"/>
  <c r="W147" i="41" s="1"/>
  <c r="R146" i="41"/>
  <c r="Q146" i="41" s="1"/>
  <c r="X146" i="41" s="1"/>
  <c r="P146" i="41"/>
  <c r="O146" i="41" s="1"/>
  <c r="M146" i="41"/>
  <c r="K146" i="41"/>
  <c r="Y146" i="41" s="1"/>
  <c r="I146" i="41"/>
  <c r="H146" i="41" s="1"/>
  <c r="G146" i="41"/>
  <c r="F146" i="41" s="1"/>
  <c r="W146" i="41" s="1"/>
  <c r="E146" i="41"/>
  <c r="R145" i="41"/>
  <c r="Q145" i="41" s="1"/>
  <c r="P145" i="41"/>
  <c r="O145" i="41" s="1"/>
  <c r="M145" i="41"/>
  <c r="AA145" i="41" s="1"/>
  <c r="K145" i="41"/>
  <c r="I145" i="41"/>
  <c r="G145" i="41"/>
  <c r="F145" i="41" s="1"/>
  <c r="W145" i="41" s="1"/>
  <c r="S144" i="41"/>
  <c r="P144" i="41" s="1"/>
  <c r="O144" i="41" s="1"/>
  <c r="N144" i="41"/>
  <c r="L144" i="41"/>
  <c r="B144" i="41"/>
  <c r="T143" i="41"/>
  <c r="R143" i="41"/>
  <c r="P143" i="41"/>
  <c r="O143" i="41" s="1"/>
  <c r="M143" i="41"/>
  <c r="K143" i="41"/>
  <c r="I143" i="41"/>
  <c r="H143" i="41" s="1"/>
  <c r="G143" i="41"/>
  <c r="F143" i="41" s="1"/>
  <c r="W143" i="41" s="1"/>
  <c r="E143" i="41"/>
  <c r="T142" i="41"/>
  <c r="M142" i="41" s="1"/>
  <c r="R142" i="41"/>
  <c r="Q142" i="41"/>
  <c r="X142" i="41" s="1"/>
  <c r="P142" i="41"/>
  <c r="O142" i="41" s="1"/>
  <c r="K142" i="41"/>
  <c r="Y142" i="41" s="1"/>
  <c r="I142" i="41"/>
  <c r="H142" i="41"/>
  <c r="G142" i="41"/>
  <c r="F142" i="41"/>
  <c r="E142" i="41"/>
  <c r="Y141" i="41"/>
  <c r="R141" i="41"/>
  <c r="Q141" i="41"/>
  <c r="P141" i="41"/>
  <c r="O141" i="41"/>
  <c r="M141" i="41"/>
  <c r="AA141" i="41" s="1"/>
  <c r="K141" i="41"/>
  <c r="J141" i="41" s="1"/>
  <c r="I141" i="41"/>
  <c r="H141" i="41" s="1"/>
  <c r="G141" i="41"/>
  <c r="F141" i="41" s="1"/>
  <c r="W141" i="41" s="1"/>
  <c r="E141" i="41"/>
  <c r="R140" i="41"/>
  <c r="Q140" i="41" s="1"/>
  <c r="P140" i="41"/>
  <c r="O140" i="41" s="1"/>
  <c r="M140" i="41"/>
  <c r="AA140" i="41" s="1"/>
  <c r="K140" i="41"/>
  <c r="J140" i="41"/>
  <c r="I140" i="41"/>
  <c r="H140" i="41"/>
  <c r="G140" i="41"/>
  <c r="F140" i="41"/>
  <c r="W140" i="41" s="1"/>
  <c r="T139" i="41"/>
  <c r="M139" i="41" s="1"/>
  <c r="AA139" i="41" s="1"/>
  <c r="R139" i="41"/>
  <c r="P139" i="41"/>
  <c r="O139" i="41" s="1"/>
  <c r="K139" i="41"/>
  <c r="I139" i="41"/>
  <c r="H139" i="41"/>
  <c r="G139" i="41"/>
  <c r="F139" i="41" s="1"/>
  <c r="W139" i="41" s="1"/>
  <c r="E139" i="41"/>
  <c r="B139" i="41"/>
  <c r="T138" i="41"/>
  <c r="M138" i="41" s="1"/>
  <c r="S138" i="41"/>
  <c r="R138" i="41"/>
  <c r="P138" i="41"/>
  <c r="O138" i="41" s="1"/>
  <c r="N138" i="41"/>
  <c r="L138" i="41"/>
  <c r="K138" i="41" s="1"/>
  <c r="B138" i="41"/>
  <c r="Q137" i="41"/>
  <c r="P137" i="41"/>
  <c r="M137" i="41"/>
  <c r="AA137" i="41" s="1"/>
  <c r="K137" i="41"/>
  <c r="I137" i="41"/>
  <c r="H137" i="41" s="1"/>
  <c r="G137" i="41"/>
  <c r="F137" i="41" s="1"/>
  <c r="Y136" i="41"/>
  <c r="Q136" i="41"/>
  <c r="AA136" i="41" s="1"/>
  <c r="P136" i="41"/>
  <c r="I136" i="41"/>
  <c r="H136" i="41" s="1"/>
  <c r="G136" i="41"/>
  <c r="Q135" i="41"/>
  <c r="X135" i="41" s="1"/>
  <c r="P135" i="41"/>
  <c r="M135" i="41"/>
  <c r="V135" i="41" s="1"/>
  <c r="K135" i="41"/>
  <c r="Y135" i="41" s="1"/>
  <c r="I135" i="41"/>
  <c r="H135" i="41" s="1"/>
  <c r="G135" i="41"/>
  <c r="F135" i="41" s="1"/>
  <c r="W135" i="41" s="1"/>
  <c r="T134" i="41"/>
  <c r="M134" i="41" s="1"/>
  <c r="R134" i="41"/>
  <c r="Q134" i="41" s="1"/>
  <c r="AA134" i="41" s="1"/>
  <c r="P134" i="41"/>
  <c r="O134" i="41" s="1"/>
  <c r="K134" i="41"/>
  <c r="Y134" i="41" s="1"/>
  <c r="I134" i="41"/>
  <c r="H134" i="41" s="1"/>
  <c r="G134" i="41"/>
  <c r="F134" i="41" s="1"/>
  <c r="R133" i="41"/>
  <c r="Q133" i="41" s="1"/>
  <c r="X133" i="41" s="1"/>
  <c r="P133" i="41"/>
  <c r="O133" i="41" s="1"/>
  <c r="M133" i="41"/>
  <c r="K133" i="41"/>
  <c r="Y133" i="41" s="1"/>
  <c r="I133" i="41"/>
  <c r="H133" i="41" s="1"/>
  <c r="G133" i="41"/>
  <c r="F133" i="41" s="1"/>
  <c r="W133" i="41" s="1"/>
  <c r="E133" i="41"/>
  <c r="R132" i="41"/>
  <c r="Q132" i="41"/>
  <c r="P132" i="41"/>
  <c r="O132" i="41"/>
  <c r="M132" i="41"/>
  <c r="K132" i="41"/>
  <c r="Y132" i="41" s="1"/>
  <c r="I132" i="41"/>
  <c r="H132" i="41" s="1"/>
  <c r="G132" i="41"/>
  <c r="F132" i="41" s="1"/>
  <c r="W132" i="41" s="1"/>
  <c r="E132" i="41"/>
  <c r="R131" i="41"/>
  <c r="Q131" i="41" s="1"/>
  <c r="Q130" i="41" s="1"/>
  <c r="AA130" i="41" s="1"/>
  <c r="P131" i="41"/>
  <c r="O131" i="41" s="1"/>
  <c r="M131" i="41"/>
  <c r="K131" i="41"/>
  <c r="J131" i="41"/>
  <c r="I131" i="41"/>
  <c r="H131" i="41"/>
  <c r="G131" i="41"/>
  <c r="F131" i="41"/>
  <c r="W131" i="41" s="1"/>
  <c r="T130" i="41"/>
  <c r="M130" i="41" s="1"/>
  <c r="S130" i="41"/>
  <c r="R130" i="41"/>
  <c r="P130" i="41"/>
  <c r="O130" i="41" s="1"/>
  <c r="N130" i="41"/>
  <c r="L130" i="41"/>
  <c r="K130" i="41" s="1"/>
  <c r="B130" i="41"/>
  <c r="P129" i="41"/>
  <c r="M129" i="41"/>
  <c r="AA129" i="41" s="1"/>
  <c r="K129" i="41"/>
  <c r="I129" i="41"/>
  <c r="H129" i="41"/>
  <c r="G129" i="41"/>
  <c r="F129" i="41"/>
  <c r="X128" i="41"/>
  <c r="R128" i="41"/>
  <c r="P128" i="41"/>
  <c r="O128" i="41" s="1"/>
  <c r="M128" i="41"/>
  <c r="AA128" i="41" s="1"/>
  <c r="K128" i="41"/>
  <c r="Y128" i="41" s="1"/>
  <c r="I128" i="41"/>
  <c r="H128" i="41" s="1"/>
  <c r="G128" i="41"/>
  <c r="F128" i="41" s="1"/>
  <c r="W128" i="41" s="1"/>
  <c r="R127" i="41"/>
  <c r="Q127" i="41"/>
  <c r="P127" i="41"/>
  <c r="O127" i="41"/>
  <c r="M127" i="41"/>
  <c r="K127" i="41"/>
  <c r="J127" i="41" s="1"/>
  <c r="I127" i="41"/>
  <c r="H127" i="41" s="1"/>
  <c r="G127" i="41"/>
  <c r="F127" i="41" s="1"/>
  <c r="W127" i="41" s="1"/>
  <c r="R126" i="41"/>
  <c r="Q126" i="41"/>
  <c r="P126" i="41"/>
  <c r="O126" i="41"/>
  <c r="M126" i="41"/>
  <c r="AA126" i="41" s="1"/>
  <c r="K126" i="41"/>
  <c r="Y126" i="41" s="1"/>
  <c r="I126" i="41"/>
  <c r="H126" i="41" s="1"/>
  <c r="G126" i="41"/>
  <c r="F126" i="41" s="1"/>
  <c r="W126" i="41" s="1"/>
  <c r="R125" i="41"/>
  <c r="Q125" i="41"/>
  <c r="X125" i="41" s="1"/>
  <c r="P125" i="41"/>
  <c r="O125" i="41"/>
  <c r="M125" i="41"/>
  <c r="K125" i="41"/>
  <c r="Y125" i="41" s="1"/>
  <c r="I125" i="41"/>
  <c r="H125" i="41"/>
  <c r="G125" i="41"/>
  <c r="F125" i="41"/>
  <c r="W125" i="41" s="1"/>
  <c r="R124" i="41"/>
  <c r="Q124" i="41" s="1"/>
  <c r="P124" i="41"/>
  <c r="O124" i="41" s="1"/>
  <c r="M124" i="41"/>
  <c r="AA124" i="41" s="1"/>
  <c r="K124" i="41"/>
  <c r="J124" i="41" s="1"/>
  <c r="I124" i="41"/>
  <c r="H124" i="41"/>
  <c r="G124" i="41"/>
  <c r="F124" i="41" s="1"/>
  <c r="R123" i="41"/>
  <c r="P123" i="41"/>
  <c r="O123" i="41" s="1"/>
  <c r="M123" i="41"/>
  <c r="AA123" i="41" s="1"/>
  <c r="K123" i="41"/>
  <c r="J123" i="41"/>
  <c r="I123" i="41"/>
  <c r="H123" i="41"/>
  <c r="G123" i="41"/>
  <c r="F123" i="41"/>
  <c r="E123" i="41"/>
  <c r="R122" i="41"/>
  <c r="Q122" i="41" s="1"/>
  <c r="X122" i="41" s="1"/>
  <c r="P122" i="41"/>
  <c r="O122" i="41"/>
  <c r="M122" i="41"/>
  <c r="AA122" i="41" s="1"/>
  <c r="K122" i="41"/>
  <c r="I122" i="41"/>
  <c r="H122" i="41"/>
  <c r="G122" i="41"/>
  <c r="F122" i="41" s="1"/>
  <c r="W122" i="41" s="1"/>
  <c r="R121" i="41"/>
  <c r="Q121" i="41" s="1"/>
  <c r="X121" i="41" s="1"/>
  <c r="P121" i="41"/>
  <c r="O121" i="41" s="1"/>
  <c r="M121" i="41"/>
  <c r="AA121" i="41" s="1"/>
  <c r="K121" i="41"/>
  <c r="I121" i="41"/>
  <c r="H121" i="41" s="1"/>
  <c r="G121" i="41"/>
  <c r="F121" i="41" s="1"/>
  <c r="W121" i="41" s="1"/>
  <c r="R120" i="41"/>
  <c r="Q120" i="41" s="1"/>
  <c r="P120" i="41"/>
  <c r="O120" i="41"/>
  <c r="M120" i="41"/>
  <c r="K120" i="41"/>
  <c r="J120" i="41" s="1"/>
  <c r="I120" i="41"/>
  <c r="H120" i="41" s="1"/>
  <c r="G120" i="41"/>
  <c r="F120" i="41" s="1"/>
  <c r="W120" i="41" s="1"/>
  <c r="E120" i="41"/>
  <c r="E119" i="41" s="1"/>
  <c r="T119" i="41"/>
  <c r="S119" i="41"/>
  <c r="R119" i="41"/>
  <c r="P119" i="41"/>
  <c r="O119" i="41" s="1"/>
  <c r="M119" i="41"/>
  <c r="L119" i="41"/>
  <c r="G119" i="41" s="1"/>
  <c r="F119" i="41" s="1"/>
  <c r="W119" i="41" s="1"/>
  <c r="K119" i="41"/>
  <c r="Y119" i="41" s="1"/>
  <c r="I119" i="41"/>
  <c r="H119" i="41" s="1"/>
  <c r="B119" i="41"/>
  <c r="Y118" i="41"/>
  <c r="X118" i="41"/>
  <c r="R118" i="41"/>
  <c r="P118" i="41"/>
  <c r="O118" i="41" s="1"/>
  <c r="M118" i="41"/>
  <c r="AA118" i="41" s="1"/>
  <c r="K118" i="41"/>
  <c r="I118" i="41"/>
  <c r="H118" i="41" s="1"/>
  <c r="G118" i="41"/>
  <c r="F118" i="41" s="1"/>
  <c r="W118" i="41" s="1"/>
  <c r="X117" i="41"/>
  <c r="P117" i="41"/>
  <c r="M117" i="41"/>
  <c r="V117" i="41" s="1"/>
  <c r="K117" i="41"/>
  <c r="Y117" i="41" s="1"/>
  <c r="I117" i="41"/>
  <c r="H117" i="41" s="1"/>
  <c r="G117" i="41"/>
  <c r="F117" i="41" s="1"/>
  <c r="W117" i="41" s="1"/>
  <c r="X116" i="41"/>
  <c r="R116" i="41"/>
  <c r="P116" i="41"/>
  <c r="O116" i="41"/>
  <c r="M116" i="41"/>
  <c r="AA116" i="41" s="1"/>
  <c r="K116" i="41"/>
  <c r="Y116" i="41" s="1"/>
  <c r="I116" i="41"/>
  <c r="H116" i="41"/>
  <c r="G116" i="41"/>
  <c r="F116" i="41"/>
  <c r="W116" i="41" s="1"/>
  <c r="P115" i="41"/>
  <c r="I115" i="41"/>
  <c r="H115" i="41"/>
  <c r="G115" i="41"/>
  <c r="X114" i="41"/>
  <c r="R114" i="41"/>
  <c r="P114" i="41"/>
  <c r="O114" i="41" s="1"/>
  <c r="M114" i="41"/>
  <c r="AA114" i="41" s="1"/>
  <c r="K114" i="41"/>
  <c r="Y114" i="41" s="1"/>
  <c r="I114" i="41"/>
  <c r="H114" i="41" s="1"/>
  <c r="G114" i="41"/>
  <c r="F114" i="41" s="1"/>
  <c r="W114" i="41" s="1"/>
  <c r="R113" i="41"/>
  <c r="Q113" i="41"/>
  <c r="X113" i="41" s="1"/>
  <c r="P113" i="41"/>
  <c r="O113" i="41" s="1"/>
  <c r="M113" i="41"/>
  <c r="K113" i="41"/>
  <c r="Y113" i="41" s="1"/>
  <c r="I113" i="41"/>
  <c r="H113" i="41" s="1"/>
  <c r="G113" i="41"/>
  <c r="F113" i="41"/>
  <c r="R112" i="41"/>
  <c r="Q112" i="41" s="1"/>
  <c r="P112" i="41"/>
  <c r="O112" i="41" s="1"/>
  <c r="M112" i="41"/>
  <c r="K112" i="41"/>
  <c r="J112" i="41"/>
  <c r="I112" i="41"/>
  <c r="H112" i="41"/>
  <c r="G112" i="41"/>
  <c r="F112" i="41"/>
  <c r="W112" i="41" s="1"/>
  <c r="R111" i="41"/>
  <c r="Q111" i="41" s="1"/>
  <c r="X111" i="41" s="1"/>
  <c r="P111" i="41"/>
  <c r="O111" i="41" s="1"/>
  <c r="M111" i="41"/>
  <c r="AA111" i="41" s="1"/>
  <c r="K111" i="41"/>
  <c r="I111" i="41"/>
  <c r="H111" i="41" s="1"/>
  <c r="G111" i="41"/>
  <c r="F111" i="41" s="1"/>
  <c r="W111" i="41" s="1"/>
  <c r="R110" i="41"/>
  <c r="Y110" i="41" s="1"/>
  <c r="P110" i="41"/>
  <c r="O110" i="41"/>
  <c r="M110" i="41"/>
  <c r="K110" i="41"/>
  <c r="I110" i="41"/>
  <c r="H110" i="41"/>
  <c r="G110" i="41"/>
  <c r="F110" i="41" s="1"/>
  <c r="W110" i="41" s="1"/>
  <c r="R109" i="41"/>
  <c r="Q109" i="41" s="1"/>
  <c r="X109" i="41" s="1"/>
  <c r="P109" i="41"/>
  <c r="O109" i="41" s="1"/>
  <c r="M109" i="41"/>
  <c r="AA109" i="41" s="1"/>
  <c r="K109" i="41"/>
  <c r="I109" i="41"/>
  <c r="H109" i="41" s="1"/>
  <c r="G109" i="41"/>
  <c r="F109" i="41" s="1"/>
  <c r="W109" i="41" s="1"/>
  <c r="E109" i="41"/>
  <c r="R108" i="41"/>
  <c r="P108" i="41"/>
  <c r="O108" i="41" s="1"/>
  <c r="M108" i="41"/>
  <c r="K108" i="41"/>
  <c r="J108" i="41" s="1"/>
  <c r="I108" i="41"/>
  <c r="H108" i="41"/>
  <c r="G108" i="41"/>
  <c r="F108" i="41" s="1"/>
  <c r="W108" i="41" s="1"/>
  <c r="E108" i="41"/>
  <c r="R107" i="41"/>
  <c r="Q107" i="41" s="1"/>
  <c r="P107" i="41"/>
  <c r="O107" i="41"/>
  <c r="M107" i="41"/>
  <c r="K107" i="41"/>
  <c r="J107" i="41" s="1"/>
  <c r="I107" i="41"/>
  <c r="H107" i="41" s="1"/>
  <c r="G107" i="41"/>
  <c r="F107" i="41" s="1"/>
  <c r="W107" i="41" s="1"/>
  <c r="X106" i="41"/>
  <c r="T106" i="41"/>
  <c r="R106" i="41"/>
  <c r="P106" i="41"/>
  <c r="O106" i="41"/>
  <c r="M106" i="41"/>
  <c r="AA106" i="41" s="1"/>
  <c r="K106" i="41"/>
  <c r="Y106" i="41" s="1"/>
  <c r="I106" i="41"/>
  <c r="I105" i="41" s="1"/>
  <c r="H105" i="41" s="1"/>
  <c r="H106" i="41"/>
  <c r="G106" i="41"/>
  <c r="F106" i="41"/>
  <c r="E106" i="41"/>
  <c r="T105" i="41"/>
  <c r="M105" i="41" s="1"/>
  <c r="S105" i="41"/>
  <c r="N105" i="41"/>
  <c r="L105" i="41"/>
  <c r="G105" i="41" s="1"/>
  <c r="F105" i="41" s="1"/>
  <c r="E105" i="41"/>
  <c r="B105" i="41"/>
  <c r="S104" i="41"/>
  <c r="N104" i="41"/>
  <c r="B104" i="41"/>
  <c r="P103" i="41"/>
  <c r="O103" i="41"/>
  <c r="M103" i="41"/>
  <c r="AA103" i="41" s="1"/>
  <c r="K103" i="41"/>
  <c r="I103" i="41"/>
  <c r="H103" i="41"/>
  <c r="G103" i="41"/>
  <c r="F103" i="41"/>
  <c r="R102" i="41"/>
  <c r="Q102" i="41"/>
  <c r="P102" i="41"/>
  <c r="O102" i="41" s="1"/>
  <c r="M102" i="41"/>
  <c r="K102" i="41"/>
  <c r="J102" i="41" s="1"/>
  <c r="I102" i="41"/>
  <c r="G102" i="41"/>
  <c r="F102" i="41" s="1"/>
  <c r="W102" i="41" s="1"/>
  <c r="R101" i="41"/>
  <c r="P101" i="41"/>
  <c r="O101" i="41" s="1"/>
  <c r="M101" i="41"/>
  <c r="AA101" i="41" s="1"/>
  <c r="K101" i="41"/>
  <c r="Y101" i="41" s="1"/>
  <c r="J101" i="41"/>
  <c r="X101" i="41" s="1"/>
  <c r="I101" i="41"/>
  <c r="H101" i="41" s="1"/>
  <c r="G101" i="41"/>
  <c r="F101" i="41"/>
  <c r="R100" i="41"/>
  <c r="P100" i="41"/>
  <c r="O100" i="41" s="1"/>
  <c r="M100" i="41"/>
  <c r="K100" i="41"/>
  <c r="J100" i="41"/>
  <c r="I100" i="41"/>
  <c r="H100" i="41"/>
  <c r="G100" i="41"/>
  <c r="F100" i="41"/>
  <c r="W100" i="41" s="1"/>
  <c r="R99" i="41"/>
  <c r="Q99" i="41" s="1"/>
  <c r="P99" i="41"/>
  <c r="O99" i="41" s="1"/>
  <c r="M99" i="41"/>
  <c r="AA99" i="41" s="1"/>
  <c r="K99" i="41"/>
  <c r="J99" i="41" s="1"/>
  <c r="I99" i="41"/>
  <c r="H99" i="41"/>
  <c r="G99" i="41"/>
  <c r="F99" i="41" s="1"/>
  <c r="W99" i="41" s="1"/>
  <c r="E99" i="41"/>
  <c r="T98" i="41"/>
  <c r="M98" i="41" s="1"/>
  <c r="S98" i="41"/>
  <c r="L98" i="41"/>
  <c r="E98" i="41"/>
  <c r="B98" i="41"/>
  <c r="X97" i="41"/>
  <c r="R97" i="41"/>
  <c r="P97" i="41"/>
  <c r="O97" i="41" s="1"/>
  <c r="M97" i="41"/>
  <c r="AA97" i="41" s="1"/>
  <c r="K97" i="41"/>
  <c r="Y97" i="41" s="1"/>
  <c r="I97" i="41"/>
  <c r="H97" i="41" s="1"/>
  <c r="G97" i="41"/>
  <c r="F97" i="41"/>
  <c r="X96" i="41"/>
  <c r="R96" i="41"/>
  <c r="P96" i="41"/>
  <c r="O96" i="41"/>
  <c r="M96" i="41"/>
  <c r="AA96" i="41" s="1"/>
  <c r="K96" i="41"/>
  <c r="Y96" i="41" s="1"/>
  <c r="I96" i="41"/>
  <c r="H96" i="41"/>
  <c r="G96" i="41"/>
  <c r="F96" i="41" s="1"/>
  <c r="W96" i="41" s="1"/>
  <c r="X95" i="41"/>
  <c r="R95" i="41"/>
  <c r="P95" i="41"/>
  <c r="O95" i="41" s="1"/>
  <c r="M95" i="41"/>
  <c r="AA95" i="41" s="1"/>
  <c r="K95" i="41"/>
  <c r="Y95" i="41" s="1"/>
  <c r="I95" i="41"/>
  <c r="H95" i="41" s="1"/>
  <c r="G95" i="41"/>
  <c r="F95" i="41"/>
  <c r="X94" i="41"/>
  <c r="R94" i="41"/>
  <c r="P94" i="41"/>
  <c r="O94" i="41"/>
  <c r="M94" i="41"/>
  <c r="AA94" i="41" s="1"/>
  <c r="K94" i="41"/>
  <c r="Y94" i="41" s="1"/>
  <c r="I94" i="41"/>
  <c r="H94" i="41"/>
  <c r="G94" i="41"/>
  <c r="F94" i="41" s="1"/>
  <c r="W94" i="41" s="1"/>
  <c r="X93" i="41"/>
  <c r="R93" i="41"/>
  <c r="P93" i="41"/>
  <c r="O93" i="41" s="1"/>
  <c r="M93" i="41"/>
  <c r="AA93" i="41" s="1"/>
  <c r="K93" i="41"/>
  <c r="Y93" i="41" s="1"/>
  <c r="I93" i="41"/>
  <c r="H93" i="41" s="1"/>
  <c r="G93" i="41"/>
  <c r="F93" i="41"/>
  <c r="X92" i="41"/>
  <c r="R92" i="41"/>
  <c r="P92" i="41"/>
  <c r="O92" i="41"/>
  <c r="M92" i="41"/>
  <c r="AA92" i="41" s="1"/>
  <c r="K92" i="41"/>
  <c r="Y92" i="41" s="1"/>
  <c r="I92" i="41"/>
  <c r="H92" i="41"/>
  <c r="G92" i="41"/>
  <c r="F92" i="41" s="1"/>
  <c r="W92" i="41" s="1"/>
  <c r="X91" i="41"/>
  <c r="R91" i="41"/>
  <c r="P91" i="41"/>
  <c r="O91" i="41" s="1"/>
  <c r="M91" i="41"/>
  <c r="AA91" i="41" s="1"/>
  <c r="K91" i="41"/>
  <c r="Y91" i="41" s="1"/>
  <c r="I91" i="41"/>
  <c r="H91" i="41" s="1"/>
  <c r="G91" i="41"/>
  <c r="F91" i="41"/>
  <c r="R90" i="41"/>
  <c r="P90" i="41"/>
  <c r="O90" i="41" s="1"/>
  <c r="M90" i="41"/>
  <c r="K90" i="41"/>
  <c r="J90" i="41"/>
  <c r="I90" i="41"/>
  <c r="H90" i="41"/>
  <c r="G90" i="41"/>
  <c r="F90" i="41"/>
  <c r="W90" i="41" s="1"/>
  <c r="X89" i="41"/>
  <c r="R89" i="41"/>
  <c r="P89" i="41"/>
  <c r="O89" i="41"/>
  <c r="M89" i="41"/>
  <c r="AA89" i="41" s="1"/>
  <c r="K89" i="41"/>
  <c r="Y89" i="41" s="1"/>
  <c r="I89" i="41"/>
  <c r="H89" i="41"/>
  <c r="G89" i="41"/>
  <c r="F89" i="41"/>
  <c r="E89" i="41"/>
  <c r="R88" i="41"/>
  <c r="Q88" i="41"/>
  <c r="P88" i="41"/>
  <c r="O88" i="41"/>
  <c r="M88" i="41"/>
  <c r="AA88" i="41" s="1"/>
  <c r="K88" i="41"/>
  <c r="J88" i="41" s="1"/>
  <c r="I88" i="41"/>
  <c r="H88" i="41" s="1"/>
  <c r="G88" i="41"/>
  <c r="F88" i="41" s="1"/>
  <c r="W88" i="41" s="1"/>
  <c r="X87" i="41"/>
  <c r="R87" i="41"/>
  <c r="P87" i="41"/>
  <c r="O87" i="41" s="1"/>
  <c r="M87" i="41"/>
  <c r="AA87" i="41" s="1"/>
  <c r="K87" i="41"/>
  <c r="Y87" i="41" s="1"/>
  <c r="I87" i="41"/>
  <c r="H87" i="41" s="1"/>
  <c r="G87" i="41"/>
  <c r="F87" i="41" s="1"/>
  <c r="R86" i="41"/>
  <c r="Q86" i="41"/>
  <c r="P86" i="41"/>
  <c r="O86" i="41"/>
  <c r="M86" i="41"/>
  <c r="K86" i="41"/>
  <c r="J86" i="41" s="1"/>
  <c r="I86" i="41"/>
  <c r="H86" i="41" s="1"/>
  <c r="G86" i="41"/>
  <c r="F86" i="41" s="1"/>
  <c r="W86" i="41" s="1"/>
  <c r="R85" i="41"/>
  <c r="Q85" i="41"/>
  <c r="P85" i="41"/>
  <c r="O85" i="41"/>
  <c r="M85" i="41"/>
  <c r="K85" i="41"/>
  <c r="J85" i="41" s="1"/>
  <c r="X85" i="41" s="1"/>
  <c r="I85" i="41"/>
  <c r="H85" i="41" s="1"/>
  <c r="G85" i="41"/>
  <c r="F85" i="41" s="1"/>
  <c r="W85" i="41" s="1"/>
  <c r="R84" i="41"/>
  <c r="Q84" i="41"/>
  <c r="P84" i="41"/>
  <c r="O84" i="41"/>
  <c r="M84" i="41"/>
  <c r="K84" i="41"/>
  <c r="J84" i="41" s="1"/>
  <c r="I84" i="41"/>
  <c r="H84" i="41" s="1"/>
  <c r="G84" i="41"/>
  <c r="F84" i="41" s="1"/>
  <c r="W84" i="41" s="1"/>
  <c r="R83" i="41"/>
  <c r="Q83" i="41" s="1"/>
  <c r="P83" i="41"/>
  <c r="O83" i="41" s="1"/>
  <c r="K83" i="41"/>
  <c r="J83" i="41"/>
  <c r="I83" i="41"/>
  <c r="H83" i="41"/>
  <c r="G83" i="41"/>
  <c r="F83" i="41"/>
  <c r="W83" i="41" s="1"/>
  <c r="E83" i="41"/>
  <c r="S82" i="41"/>
  <c r="N82" i="41"/>
  <c r="L82" i="41"/>
  <c r="G82" i="41" s="1"/>
  <c r="F82" i="41" s="1"/>
  <c r="E82" i="41"/>
  <c r="B82" i="41"/>
  <c r="R81" i="41"/>
  <c r="Q81" i="41"/>
  <c r="P81" i="41"/>
  <c r="O81" i="41"/>
  <c r="M81" i="41"/>
  <c r="K81" i="41"/>
  <c r="J81" i="41" s="1"/>
  <c r="X81" i="41" s="1"/>
  <c r="I81" i="41"/>
  <c r="H81" i="41" s="1"/>
  <c r="G81" i="41"/>
  <c r="F81" i="41" s="1"/>
  <c r="W81" i="41" s="1"/>
  <c r="X80" i="41"/>
  <c r="R80" i="41"/>
  <c r="P80" i="41"/>
  <c r="O80" i="41" s="1"/>
  <c r="M80" i="41"/>
  <c r="AA80" i="41" s="1"/>
  <c r="K80" i="41"/>
  <c r="Y80" i="41" s="1"/>
  <c r="I80" i="41"/>
  <c r="H80" i="41" s="1"/>
  <c r="G80" i="41"/>
  <c r="F80" i="41" s="1"/>
  <c r="W80" i="41" s="1"/>
  <c r="T79" i="41"/>
  <c r="T77" i="41" s="1"/>
  <c r="M77" i="41" s="1"/>
  <c r="R79" i="41"/>
  <c r="P79" i="41"/>
  <c r="O79" i="41"/>
  <c r="M79" i="41"/>
  <c r="AA79" i="41" s="1"/>
  <c r="K79" i="41"/>
  <c r="J79" i="41" s="1"/>
  <c r="I79" i="41"/>
  <c r="H79" i="41" s="1"/>
  <c r="G79" i="41"/>
  <c r="F79" i="41" s="1"/>
  <c r="W79" i="41" s="1"/>
  <c r="E79" i="41"/>
  <c r="R78" i="41"/>
  <c r="P78" i="41"/>
  <c r="O78" i="41" s="1"/>
  <c r="M78" i="41"/>
  <c r="K78" i="41"/>
  <c r="J78" i="41"/>
  <c r="I78" i="41"/>
  <c r="I77" i="41" s="1"/>
  <c r="H78" i="41"/>
  <c r="G78" i="41"/>
  <c r="F78" i="41"/>
  <c r="S77" i="41"/>
  <c r="R77" i="41"/>
  <c r="P77" i="41"/>
  <c r="O77" i="41" s="1"/>
  <c r="N77" i="41"/>
  <c r="L77" i="41"/>
  <c r="B77" i="41"/>
  <c r="X76" i="41"/>
  <c r="R76" i="41"/>
  <c r="P76" i="41"/>
  <c r="O76" i="41"/>
  <c r="M76" i="41"/>
  <c r="AA76" i="41" s="1"/>
  <c r="K76" i="41"/>
  <c r="Y76" i="41" s="1"/>
  <c r="I76" i="41"/>
  <c r="H76" i="41"/>
  <c r="G76" i="41"/>
  <c r="F76" i="41" s="1"/>
  <c r="W76" i="41" s="1"/>
  <c r="X75" i="41"/>
  <c r="R75" i="41"/>
  <c r="P75" i="41"/>
  <c r="O75" i="41" s="1"/>
  <c r="M75" i="41"/>
  <c r="AA75" i="41" s="1"/>
  <c r="K75" i="41"/>
  <c r="Y75" i="41" s="1"/>
  <c r="I75" i="41"/>
  <c r="H75" i="41" s="1"/>
  <c r="G75" i="41"/>
  <c r="F75" i="41"/>
  <c r="R74" i="41"/>
  <c r="Q74" i="41" s="1"/>
  <c r="X74" i="41" s="1"/>
  <c r="P74" i="41"/>
  <c r="O74" i="41" s="1"/>
  <c r="M74" i="41"/>
  <c r="AA74" i="41" s="1"/>
  <c r="K74" i="41"/>
  <c r="I74" i="41"/>
  <c r="G74" i="41"/>
  <c r="F74" i="41" s="1"/>
  <c r="W74" i="41" s="1"/>
  <c r="T73" i="41"/>
  <c r="M73" i="41" s="1"/>
  <c r="AA73" i="41" s="1"/>
  <c r="S73" i="41"/>
  <c r="R73" i="41" s="1"/>
  <c r="P73" i="41"/>
  <c r="O73" i="41" s="1"/>
  <c r="N73" i="41"/>
  <c r="L73" i="41"/>
  <c r="J73" i="41"/>
  <c r="X73" i="41" s="1"/>
  <c r="E73" i="41"/>
  <c r="B73" i="41"/>
  <c r="R72" i="41"/>
  <c r="P72" i="41"/>
  <c r="O72" i="41"/>
  <c r="M72" i="41"/>
  <c r="AA72" i="41" s="1"/>
  <c r="K72" i="41"/>
  <c r="I72" i="41"/>
  <c r="H72" i="41" s="1"/>
  <c r="G72" i="41"/>
  <c r="F72" i="41" s="1"/>
  <c r="W72" i="41" s="1"/>
  <c r="R71" i="41"/>
  <c r="P71" i="41"/>
  <c r="O71" i="41" s="1"/>
  <c r="M71" i="41"/>
  <c r="AA71" i="41" s="1"/>
  <c r="K71" i="41"/>
  <c r="Y71" i="41" s="1"/>
  <c r="J71" i="41"/>
  <c r="I71" i="41"/>
  <c r="H71" i="41" s="1"/>
  <c r="G71" i="41"/>
  <c r="F71" i="41"/>
  <c r="W71" i="41" s="1"/>
  <c r="R70" i="41"/>
  <c r="P70" i="41"/>
  <c r="O70" i="41"/>
  <c r="M70" i="41"/>
  <c r="AA70" i="41" s="1"/>
  <c r="K70" i="41"/>
  <c r="I70" i="41"/>
  <c r="H70" i="41" s="1"/>
  <c r="G70" i="41"/>
  <c r="F70" i="41" s="1"/>
  <c r="W70" i="41" s="1"/>
  <c r="R69" i="41"/>
  <c r="P69" i="41"/>
  <c r="O69" i="41" s="1"/>
  <c r="M69" i="41"/>
  <c r="AA69" i="41" s="1"/>
  <c r="K69" i="41"/>
  <c r="Y69" i="41" s="1"/>
  <c r="J69" i="41"/>
  <c r="X69" i="41" s="1"/>
  <c r="I69" i="41"/>
  <c r="H69" i="41"/>
  <c r="G69" i="41"/>
  <c r="F69" i="41"/>
  <c r="R68" i="41"/>
  <c r="P68" i="41"/>
  <c r="O68" i="41"/>
  <c r="M68" i="41"/>
  <c r="AA68" i="41" s="1"/>
  <c r="K68" i="41"/>
  <c r="I68" i="41"/>
  <c r="H68" i="41" s="1"/>
  <c r="G68" i="41"/>
  <c r="F68" i="41"/>
  <c r="W68" i="41" s="1"/>
  <c r="R67" i="41"/>
  <c r="P67" i="41"/>
  <c r="O67" i="41" s="1"/>
  <c r="M67" i="41"/>
  <c r="AA67" i="41" s="1"/>
  <c r="K67" i="41"/>
  <c r="Y67" i="41" s="1"/>
  <c r="J67" i="41"/>
  <c r="I67" i="41"/>
  <c r="H67" i="41"/>
  <c r="G67" i="41"/>
  <c r="F67" i="41"/>
  <c r="R66" i="41"/>
  <c r="P66" i="41"/>
  <c r="O66" i="41" s="1"/>
  <c r="M66" i="41"/>
  <c r="K66" i="41"/>
  <c r="Y66" i="41" s="1"/>
  <c r="I66" i="41"/>
  <c r="H66" i="41" s="1"/>
  <c r="G66" i="41"/>
  <c r="F66" i="41" s="1"/>
  <c r="T65" i="41"/>
  <c r="S65" i="41"/>
  <c r="R65" i="41" s="1"/>
  <c r="Q65" i="41"/>
  <c r="N65" i="41"/>
  <c r="M65" i="41"/>
  <c r="L65" i="41"/>
  <c r="G65" i="41" s="1"/>
  <c r="F65" i="41" s="1"/>
  <c r="K65" i="41"/>
  <c r="E65" i="41"/>
  <c r="B65" i="41"/>
  <c r="R64" i="41"/>
  <c r="P64" i="41"/>
  <c r="O64" i="41" s="1"/>
  <c r="M64" i="41"/>
  <c r="AA64" i="41" s="1"/>
  <c r="K64" i="41"/>
  <c r="Y64" i="41" s="1"/>
  <c r="J64" i="41"/>
  <c r="I64" i="41"/>
  <c r="H64" i="41"/>
  <c r="G64" i="41"/>
  <c r="F64" i="41"/>
  <c r="R63" i="41"/>
  <c r="P63" i="41"/>
  <c r="O63" i="41" s="1"/>
  <c r="M63" i="41"/>
  <c r="AA63" i="41" s="1"/>
  <c r="K63" i="41"/>
  <c r="J63" i="41" s="1"/>
  <c r="I63" i="41"/>
  <c r="H63" i="41" s="1"/>
  <c r="G63" i="41"/>
  <c r="F63" i="41" s="1"/>
  <c r="R62" i="41"/>
  <c r="Y62" i="41" s="1"/>
  <c r="P62" i="41"/>
  <c r="O62" i="41" s="1"/>
  <c r="M62" i="41"/>
  <c r="AA62" i="41" s="1"/>
  <c r="J62" i="41"/>
  <c r="I62" i="41"/>
  <c r="H62" i="41" s="1"/>
  <c r="G62" i="41"/>
  <c r="F62" i="41" s="1"/>
  <c r="W62" i="41" s="1"/>
  <c r="R61" i="41"/>
  <c r="Q61" i="41"/>
  <c r="P61" i="41"/>
  <c r="O61" i="41"/>
  <c r="M61" i="41"/>
  <c r="K61" i="41"/>
  <c r="Y61" i="41" s="1"/>
  <c r="I61" i="41"/>
  <c r="H61" i="41" s="1"/>
  <c r="G61" i="41"/>
  <c r="F61" i="41" s="1"/>
  <c r="W61" i="41" s="1"/>
  <c r="E61" i="41"/>
  <c r="R60" i="41"/>
  <c r="Q60" i="41" s="1"/>
  <c r="Q59" i="41" s="1"/>
  <c r="P60" i="41"/>
  <c r="O60" i="41" s="1"/>
  <c r="M60" i="41"/>
  <c r="AA60" i="41" s="1"/>
  <c r="K60" i="41"/>
  <c r="J60" i="41"/>
  <c r="I60" i="41"/>
  <c r="H60" i="41"/>
  <c r="G60" i="41"/>
  <c r="F60" i="41"/>
  <c r="S59" i="41"/>
  <c r="P59" i="41" s="1"/>
  <c r="O59" i="41" s="1"/>
  <c r="N59" i="41"/>
  <c r="N41" i="41" s="1"/>
  <c r="M59" i="41"/>
  <c r="L59" i="41"/>
  <c r="G59" i="41" s="1"/>
  <c r="F59" i="41" s="1"/>
  <c r="W59" i="41" s="1"/>
  <c r="K59" i="41"/>
  <c r="I59" i="41"/>
  <c r="H59" i="41" s="1"/>
  <c r="E59" i="41"/>
  <c r="B59" i="41"/>
  <c r="X58" i="41"/>
  <c r="R58" i="41"/>
  <c r="P58" i="41"/>
  <c r="O58" i="41" s="1"/>
  <c r="M58" i="41"/>
  <c r="AA58" i="41" s="1"/>
  <c r="K58" i="41"/>
  <c r="Y58" i="41" s="1"/>
  <c r="I58" i="41"/>
  <c r="H58" i="41" s="1"/>
  <c r="G58" i="41"/>
  <c r="F58" i="41" s="1"/>
  <c r="W58" i="41" s="1"/>
  <c r="R57" i="41"/>
  <c r="Q57" i="41"/>
  <c r="P57" i="41"/>
  <c r="O57" i="41"/>
  <c r="M57" i="41"/>
  <c r="K57" i="41"/>
  <c r="Y57" i="41" s="1"/>
  <c r="I57" i="41"/>
  <c r="H57" i="41" s="1"/>
  <c r="G57" i="41"/>
  <c r="F57" i="41" s="1"/>
  <c r="W57" i="41" s="1"/>
  <c r="E57" i="41"/>
  <c r="R56" i="41"/>
  <c r="Q56" i="41" s="1"/>
  <c r="P56" i="41"/>
  <c r="O56" i="41" s="1"/>
  <c r="M56" i="41"/>
  <c r="K56" i="41"/>
  <c r="J56" i="41"/>
  <c r="I56" i="41"/>
  <c r="H56" i="41"/>
  <c r="G56" i="41"/>
  <c r="F56" i="41"/>
  <c r="W56" i="41" s="1"/>
  <c r="R55" i="41"/>
  <c r="P55" i="41"/>
  <c r="O55" i="41" s="1"/>
  <c r="M55" i="41"/>
  <c r="K55" i="41"/>
  <c r="J55" i="41" s="1"/>
  <c r="I55" i="41"/>
  <c r="H55" i="41"/>
  <c r="G55" i="41"/>
  <c r="F55" i="41" s="1"/>
  <c r="W55" i="41" s="1"/>
  <c r="R54" i="41"/>
  <c r="P54" i="41"/>
  <c r="O54" i="41"/>
  <c r="M54" i="41"/>
  <c r="AA54" i="41" s="1"/>
  <c r="K54" i="41"/>
  <c r="J54" i="41" s="1"/>
  <c r="I54" i="41"/>
  <c r="I53" i="41" s="1"/>
  <c r="G54" i="41"/>
  <c r="F54" i="41" s="1"/>
  <c r="W54" i="41" s="1"/>
  <c r="E54" i="41"/>
  <c r="T53" i="41"/>
  <c r="M53" i="41" s="1"/>
  <c r="S53" i="41"/>
  <c r="P53" i="41" s="1"/>
  <c r="O53" i="41" s="1"/>
  <c r="R53" i="41"/>
  <c r="N53" i="41"/>
  <c r="L53" i="41"/>
  <c r="K53" i="41" s="1"/>
  <c r="B53" i="41"/>
  <c r="R52" i="41"/>
  <c r="P52" i="41"/>
  <c r="O52" i="41"/>
  <c r="M52" i="41"/>
  <c r="AA52" i="41" s="1"/>
  <c r="K52" i="41"/>
  <c r="Y52" i="41" s="1"/>
  <c r="I52" i="41"/>
  <c r="H52" i="41" s="1"/>
  <c r="G52" i="41"/>
  <c r="F52" i="41" s="1"/>
  <c r="W52" i="41" s="1"/>
  <c r="R51" i="41"/>
  <c r="P51" i="41"/>
  <c r="O51" i="41" s="1"/>
  <c r="M51" i="41"/>
  <c r="AA51" i="41" s="1"/>
  <c r="K51" i="41"/>
  <c r="Y51" i="41" s="1"/>
  <c r="I51" i="41"/>
  <c r="H51" i="41"/>
  <c r="G51" i="41"/>
  <c r="F51" i="41" s="1"/>
  <c r="W51" i="41" s="1"/>
  <c r="X50" i="41"/>
  <c r="T50" i="41"/>
  <c r="M50" i="41" s="1"/>
  <c r="R50" i="41"/>
  <c r="P50" i="41"/>
  <c r="O50" i="41" s="1"/>
  <c r="N50" i="41"/>
  <c r="K50" i="41"/>
  <c r="I50" i="41"/>
  <c r="H50" i="41" s="1"/>
  <c r="G50" i="41"/>
  <c r="F50" i="41"/>
  <c r="E50" i="41"/>
  <c r="Q49" i="41"/>
  <c r="AA49" i="41" s="1"/>
  <c r="P49" i="41"/>
  <c r="J49" i="41"/>
  <c r="I49" i="41"/>
  <c r="H49" i="41" s="1"/>
  <c r="G49" i="41"/>
  <c r="R48" i="41"/>
  <c r="Q48" i="41" s="1"/>
  <c r="P48" i="41"/>
  <c r="O48" i="41" s="1"/>
  <c r="M48" i="41"/>
  <c r="AA48" i="41" s="1"/>
  <c r="K48" i="41"/>
  <c r="J48" i="41"/>
  <c r="I48" i="41"/>
  <c r="H48" i="41"/>
  <c r="G48" i="41"/>
  <c r="F48" i="41"/>
  <c r="R47" i="41"/>
  <c r="Q47" i="41" s="1"/>
  <c r="P47" i="41"/>
  <c r="M47" i="41"/>
  <c r="K47" i="41"/>
  <c r="I47" i="41"/>
  <c r="H47" i="41"/>
  <c r="G47" i="41"/>
  <c r="F47" i="41" s="1"/>
  <c r="W47" i="41" s="1"/>
  <c r="R46" i="41"/>
  <c r="Q46" i="41"/>
  <c r="P46" i="41"/>
  <c r="O46" i="41"/>
  <c r="M46" i="41"/>
  <c r="AA46" i="41" s="1"/>
  <c r="K46" i="41"/>
  <c r="J46" i="41" s="1"/>
  <c r="I46" i="41"/>
  <c r="H46" i="41" s="1"/>
  <c r="G46" i="41"/>
  <c r="F46" i="41" s="1"/>
  <c r="W46" i="41" s="1"/>
  <c r="R45" i="41"/>
  <c r="Q45" i="41"/>
  <c r="P45" i="41"/>
  <c r="O45" i="41"/>
  <c r="M45" i="41"/>
  <c r="K45" i="41"/>
  <c r="Y45" i="41" s="1"/>
  <c r="I45" i="41"/>
  <c r="H45" i="41" s="1"/>
  <c r="G45" i="41"/>
  <c r="F45" i="41" s="1"/>
  <c r="W45" i="41" s="1"/>
  <c r="Y44" i="41"/>
  <c r="T44" i="41"/>
  <c r="T42" i="41" s="1"/>
  <c r="M42" i="41" s="1"/>
  <c r="R44" i="41"/>
  <c r="P44" i="41"/>
  <c r="O44" i="41"/>
  <c r="M44" i="41"/>
  <c r="AA44" i="41" s="1"/>
  <c r="K44" i="41"/>
  <c r="J44" i="41" s="1"/>
  <c r="I44" i="41"/>
  <c r="H44" i="41" s="1"/>
  <c r="G44" i="41"/>
  <c r="F44" i="41" s="1"/>
  <c r="W44" i="41" s="1"/>
  <c r="E44" i="41"/>
  <c r="E42" i="41" s="1"/>
  <c r="R43" i="41"/>
  <c r="P43" i="41"/>
  <c r="O43" i="41" s="1"/>
  <c r="M43" i="41"/>
  <c r="K43" i="41"/>
  <c r="J43" i="41" s="1"/>
  <c r="I43" i="41"/>
  <c r="I42" i="41" s="1"/>
  <c r="H42" i="41" s="1"/>
  <c r="H43" i="41"/>
  <c r="G43" i="41"/>
  <c r="F43" i="41" s="1"/>
  <c r="W43" i="41" s="1"/>
  <c r="S42" i="41"/>
  <c r="P42" i="41" s="1"/>
  <c r="O42" i="41" s="1"/>
  <c r="R42" i="41"/>
  <c r="L42" i="41"/>
  <c r="G42" i="41" s="1"/>
  <c r="F42" i="41" s="1"/>
  <c r="K42" i="41"/>
  <c r="Y42" i="41" s="1"/>
  <c r="B42" i="41"/>
  <c r="B41" i="41" s="1"/>
  <c r="Y40" i="41"/>
  <c r="R40" i="41"/>
  <c r="Q40" i="41"/>
  <c r="P40" i="41"/>
  <c r="O40" i="41"/>
  <c r="M40" i="41"/>
  <c r="K40" i="41"/>
  <c r="J40" i="41"/>
  <c r="I40" i="41"/>
  <c r="H40" i="41" s="1"/>
  <c r="G40" i="41"/>
  <c r="F40" i="41"/>
  <c r="R39" i="41"/>
  <c r="Q39" i="41"/>
  <c r="P39" i="41"/>
  <c r="O39" i="41"/>
  <c r="M39" i="41"/>
  <c r="K39" i="41"/>
  <c r="Y39" i="41" s="1"/>
  <c r="I39" i="41"/>
  <c r="H39" i="41"/>
  <c r="G39" i="41"/>
  <c r="F39" i="41" s="1"/>
  <c r="W39" i="41" s="1"/>
  <c r="Y38" i="41"/>
  <c r="R38" i="41"/>
  <c r="Q38" i="41"/>
  <c r="P38" i="41"/>
  <c r="O38" i="41"/>
  <c r="M38" i="41"/>
  <c r="K38" i="41"/>
  <c r="J38" i="41"/>
  <c r="I38" i="41"/>
  <c r="H38" i="41" s="1"/>
  <c r="G38" i="41"/>
  <c r="F38" i="41"/>
  <c r="R37" i="41"/>
  <c r="Q37" i="41"/>
  <c r="P37" i="41"/>
  <c r="O37" i="41"/>
  <c r="M37" i="41"/>
  <c r="AA37" i="41" s="1"/>
  <c r="K37" i="41"/>
  <c r="Y37" i="41" s="1"/>
  <c r="I37" i="41"/>
  <c r="H37" i="41"/>
  <c r="G37" i="41"/>
  <c r="F37" i="41" s="1"/>
  <c r="W37" i="41" s="1"/>
  <c r="Y36" i="41"/>
  <c r="R36" i="41"/>
  <c r="Q36" i="41"/>
  <c r="P36" i="41"/>
  <c r="O36" i="41"/>
  <c r="M36" i="41"/>
  <c r="K36" i="41"/>
  <c r="J36" i="41"/>
  <c r="I36" i="41"/>
  <c r="H36" i="41" s="1"/>
  <c r="G36" i="41"/>
  <c r="F36" i="41"/>
  <c r="X35" i="41"/>
  <c r="R35" i="41"/>
  <c r="P35" i="41"/>
  <c r="O35" i="41" s="1"/>
  <c r="M35" i="41"/>
  <c r="AA35" i="41" s="1"/>
  <c r="K35" i="41"/>
  <c r="I35" i="41"/>
  <c r="H35" i="41" s="1"/>
  <c r="G35" i="41"/>
  <c r="F35" i="41"/>
  <c r="E35" i="41"/>
  <c r="R34" i="41"/>
  <c r="P34" i="41"/>
  <c r="O34" i="41"/>
  <c r="M34" i="41"/>
  <c r="K34" i="41"/>
  <c r="J34" i="41" s="1"/>
  <c r="I34" i="41"/>
  <c r="H34" i="41"/>
  <c r="G34" i="41"/>
  <c r="F34" i="41" s="1"/>
  <c r="W34" i="41" s="1"/>
  <c r="R33" i="41"/>
  <c r="Q33" i="41"/>
  <c r="P33" i="41"/>
  <c r="O33" i="41" s="1"/>
  <c r="M33" i="41"/>
  <c r="K33" i="41"/>
  <c r="Y33" i="41" s="1"/>
  <c r="J33" i="41"/>
  <c r="I33" i="41"/>
  <c r="H33" i="41" s="1"/>
  <c r="G33" i="41"/>
  <c r="F33" i="41"/>
  <c r="R32" i="41"/>
  <c r="Y32" i="41" s="1"/>
  <c r="P32" i="41"/>
  <c r="O32" i="41"/>
  <c r="M32" i="41"/>
  <c r="K32" i="41"/>
  <c r="J32" i="41" s="1"/>
  <c r="I32" i="41"/>
  <c r="H32" i="41"/>
  <c r="G32" i="41"/>
  <c r="F32" i="41" s="1"/>
  <c r="W32" i="41" s="1"/>
  <c r="R31" i="41"/>
  <c r="Q31" i="41"/>
  <c r="X31" i="41" s="1"/>
  <c r="P31" i="41"/>
  <c r="O31" i="41" s="1"/>
  <c r="M31" i="41"/>
  <c r="K31" i="41"/>
  <c r="Y31" i="41" s="1"/>
  <c r="I31" i="41"/>
  <c r="H31" i="41" s="1"/>
  <c r="G31" i="41"/>
  <c r="F31" i="41" s="1"/>
  <c r="E31" i="41"/>
  <c r="R30" i="41"/>
  <c r="Y30" i="41" s="1"/>
  <c r="P30" i="41"/>
  <c r="O30" i="41" s="1"/>
  <c r="M30" i="41"/>
  <c r="K30" i="41"/>
  <c r="J30" i="41"/>
  <c r="I30" i="41"/>
  <c r="H30" i="41"/>
  <c r="G30" i="41"/>
  <c r="F30" i="41"/>
  <c r="R29" i="41"/>
  <c r="Q29" i="41"/>
  <c r="P29" i="41"/>
  <c r="O29" i="41" s="1"/>
  <c r="M29" i="41"/>
  <c r="AA29" i="41" s="1"/>
  <c r="K29" i="41"/>
  <c r="Y29" i="41" s="1"/>
  <c r="J29" i="41"/>
  <c r="I29" i="41"/>
  <c r="H29" i="41"/>
  <c r="G29" i="41"/>
  <c r="F29" i="41"/>
  <c r="R28" i="41"/>
  <c r="P28" i="41"/>
  <c r="O28" i="41" s="1"/>
  <c r="M28" i="41"/>
  <c r="K28" i="41"/>
  <c r="J28" i="41"/>
  <c r="I28" i="41"/>
  <c r="H28" i="41"/>
  <c r="G28" i="41"/>
  <c r="F28" i="41"/>
  <c r="R27" i="41"/>
  <c r="Q27" i="41"/>
  <c r="P27" i="41"/>
  <c r="O27" i="41" s="1"/>
  <c r="M27" i="41"/>
  <c r="AA27" i="41" s="1"/>
  <c r="K27" i="41"/>
  <c r="Y27" i="41" s="1"/>
  <c r="J27" i="41"/>
  <c r="X27" i="41" s="1"/>
  <c r="I27" i="41"/>
  <c r="I26" i="41" s="1"/>
  <c r="H27" i="41"/>
  <c r="H26" i="41" s="1"/>
  <c r="G27" i="41"/>
  <c r="F27" i="41"/>
  <c r="T26" i="41"/>
  <c r="M26" i="41" s="1"/>
  <c r="S26" i="41"/>
  <c r="P26" i="41" s="1"/>
  <c r="O26" i="41" s="1"/>
  <c r="N26" i="41"/>
  <c r="L26" i="41"/>
  <c r="K26" i="41" s="1"/>
  <c r="E26" i="41"/>
  <c r="B26" i="41"/>
  <c r="B9" i="41" s="1"/>
  <c r="B157" i="41" s="1"/>
  <c r="B8" i="41" s="1"/>
  <c r="R25" i="41"/>
  <c r="P25" i="41"/>
  <c r="O25" i="41" s="1"/>
  <c r="M25" i="41"/>
  <c r="V25" i="41" s="1"/>
  <c r="K25" i="41"/>
  <c r="I25" i="41"/>
  <c r="H25" i="41" s="1"/>
  <c r="G25" i="41"/>
  <c r="F25" i="41" s="1"/>
  <c r="R24" i="41"/>
  <c r="Q24" i="41"/>
  <c r="X24" i="41" s="1"/>
  <c r="P24" i="41"/>
  <c r="O24" i="41"/>
  <c r="M24" i="41"/>
  <c r="K24" i="41"/>
  <c r="Y24" i="41" s="1"/>
  <c r="I24" i="41"/>
  <c r="H24" i="41"/>
  <c r="G24" i="41"/>
  <c r="F24" i="41"/>
  <c r="W24" i="41" s="1"/>
  <c r="R23" i="41"/>
  <c r="Q23" i="41"/>
  <c r="X23" i="41" s="1"/>
  <c r="P23" i="41"/>
  <c r="O23" i="41"/>
  <c r="M23" i="41"/>
  <c r="K23" i="41"/>
  <c r="Y23" i="41" s="1"/>
  <c r="I23" i="41"/>
  <c r="H23" i="41"/>
  <c r="G23" i="41"/>
  <c r="F23" i="41"/>
  <c r="R22" i="41"/>
  <c r="Q22" i="41"/>
  <c r="X22" i="41" s="1"/>
  <c r="P22" i="41"/>
  <c r="O22" i="41"/>
  <c r="M22" i="41"/>
  <c r="K22" i="41"/>
  <c r="Y22" i="41" s="1"/>
  <c r="I22" i="41"/>
  <c r="H22" i="41"/>
  <c r="G22" i="41"/>
  <c r="F22" i="41"/>
  <c r="W22" i="41" s="1"/>
  <c r="R21" i="41"/>
  <c r="Q21" i="41"/>
  <c r="X21" i="41" s="1"/>
  <c r="P21" i="41"/>
  <c r="O21" i="41"/>
  <c r="M21" i="41"/>
  <c r="V21" i="41" s="1"/>
  <c r="K21" i="41"/>
  <c r="Y21" i="41" s="1"/>
  <c r="I21" i="41"/>
  <c r="H21" i="41"/>
  <c r="G21" i="41"/>
  <c r="F21" i="41"/>
  <c r="V20" i="41"/>
  <c r="R20" i="41"/>
  <c r="Q20" i="41" s="1"/>
  <c r="P20" i="41"/>
  <c r="O20" i="41" s="1"/>
  <c r="M20" i="41"/>
  <c r="K20" i="41"/>
  <c r="I20" i="41"/>
  <c r="H20" i="41" s="1"/>
  <c r="G20" i="41"/>
  <c r="F20" i="41" s="1"/>
  <c r="W20" i="41" s="1"/>
  <c r="R19" i="41"/>
  <c r="Q19" i="41" s="1"/>
  <c r="X19" i="41" s="1"/>
  <c r="P19" i="41"/>
  <c r="O19" i="41"/>
  <c r="M19" i="41"/>
  <c r="K19" i="41"/>
  <c r="I19" i="41"/>
  <c r="H19" i="41"/>
  <c r="G19" i="41"/>
  <c r="F19" i="41" s="1"/>
  <c r="W19" i="41" s="1"/>
  <c r="R18" i="41"/>
  <c r="Q18" i="41" s="1"/>
  <c r="X18" i="41" s="1"/>
  <c r="P18" i="41"/>
  <c r="O18" i="41"/>
  <c r="M18" i="41"/>
  <c r="K18" i="41"/>
  <c r="I18" i="41"/>
  <c r="H18" i="41"/>
  <c r="G18" i="41"/>
  <c r="F18" i="41" s="1"/>
  <c r="W18" i="41" s="1"/>
  <c r="R17" i="41"/>
  <c r="Q17" i="41" s="1"/>
  <c r="X17" i="41" s="1"/>
  <c r="P17" i="41"/>
  <c r="O17" i="41"/>
  <c r="M17" i="41"/>
  <c r="V17" i="41" s="1"/>
  <c r="K17" i="41"/>
  <c r="I17" i="41"/>
  <c r="H17" i="41"/>
  <c r="G17" i="41"/>
  <c r="F17" i="41" s="1"/>
  <c r="W17" i="41" s="1"/>
  <c r="R16" i="41"/>
  <c r="Q16" i="41" s="1"/>
  <c r="X16" i="41" s="1"/>
  <c r="P16" i="41"/>
  <c r="O16" i="41"/>
  <c r="M16" i="41"/>
  <c r="V16" i="41" s="1"/>
  <c r="K16" i="41"/>
  <c r="I16" i="41"/>
  <c r="H16" i="41"/>
  <c r="G16" i="41"/>
  <c r="F16" i="41" s="1"/>
  <c r="W16" i="41" s="1"/>
  <c r="R15" i="41"/>
  <c r="Q15" i="41" s="1"/>
  <c r="X15" i="41" s="1"/>
  <c r="P15" i="41"/>
  <c r="O15" i="41"/>
  <c r="M15" i="41"/>
  <c r="K15" i="41"/>
  <c r="I15" i="41"/>
  <c r="H15" i="41"/>
  <c r="G15" i="41"/>
  <c r="F15" i="41" s="1"/>
  <c r="W15" i="41" s="1"/>
  <c r="R14" i="41"/>
  <c r="Q14" i="41"/>
  <c r="P14" i="41"/>
  <c r="O14" i="41"/>
  <c r="M14" i="41"/>
  <c r="K14" i="41"/>
  <c r="X14" i="41" s="1"/>
  <c r="I14" i="41"/>
  <c r="H14" i="41" s="1"/>
  <c r="G14" i="41"/>
  <c r="F14" i="41" s="1"/>
  <c r="W14" i="41" s="1"/>
  <c r="R13" i="41"/>
  <c r="Q13" i="41"/>
  <c r="P13" i="41"/>
  <c r="O13" i="41"/>
  <c r="M13" i="41"/>
  <c r="AA13" i="41" s="1"/>
  <c r="K13" i="41"/>
  <c r="Y13" i="41" s="1"/>
  <c r="I13" i="41"/>
  <c r="H13" i="41" s="1"/>
  <c r="G13" i="41"/>
  <c r="F13" i="41" s="1"/>
  <c r="W13" i="41" s="1"/>
  <c r="R12" i="41"/>
  <c r="R10" i="41" s="1"/>
  <c r="P12" i="41"/>
  <c r="O12" i="41"/>
  <c r="M12" i="41"/>
  <c r="K12" i="41"/>
  <c r="J12" i="41" s="1"/>
  <c r="I12" i="41"/>
  <c r="H12" i="41" s="1"/>
  <c r="G12" i="41"/>
  <c r="F12" i="41" s="1"/>
  <c r="V11" i="41"/>
  <c r="P11" i="41"/>
  <c r="O11" i="41" s="1"/>
  <c r="H11" i="41"/>
  <c r="G11" i="41"/>
  <c r="T10" i="41"/>
  <c r="S10" i="41"/>
  <c r="P10" i="41" s="1"/>
  <c r="O10" i="41" s="1"/>
  <c r="N10" i="41"/>
  <c r="M10" i="41"/>
  <c r="L10" i="41"/>
  <c r="G10" i="41"/>
  <c r="E10" i="41"/>
  <c r="B10" i="41"/>
  <c r="N9" i="41"/>
  <c r="U8" i="41"/>
  <c r="X124" i="41" l="1"/>
  <c r="Z124" i="41"/>
  <c r="X99" i="41"/>
  <c r="J98" i="41"/>
  <c r="AA15" i="41"/>
  <c r="Y34" i="41"/>
  <c r="X56" i="41"/>
  <c r="Z56" i="41"/>
  <c r="X79" i="41"/>
  <c r="W87" i="41"/>
  <c r="E104" i="41"/>
  <c r="X112" i="41"/>
  <c r="Y139" i="41"/>
  <c r="J139" i="41"/>
  <c r="T144" i="41"/>
  <c r="M144" i="41" s="1"/>
  <c r="M148" i="41"/>
  <c r="AA148" i="41" s="1"/>
  <c r="AA14" i="41"/>
  <c r="Y20" i="41"/>
  <c r="X33" i="41"/>
  <c r="X38" i="41"/>
  <c r="AA39" i="41"/>
  <c r="AA43" i="41"/>
  <c r="AA45" i="41"/>
  <c r="I10" i="41"/>
  <c r="Y14" i="41"/>
  <c r="Y15" i="41"/>
  <c r="Y10" i="41" s="1"/>
  <c r="Y16" i="41"/>
  <c r="Y17" i="41"/>
  <c r="Y18" i="41"/>
  <c r="Y19" i="41"/>
  <c r="W21" i="41"/>
  <c r="W23" i="41"/>
  <c r="W25" i="41"/>
  <c r="W27" i="41"/>
  <c r="O9" i="41"/>
  <c r="Q12" i="41"/>
  <c r="AA12" i="41" s="1"/>
  <c r="V23" i="41"/>
  <c r="AA23" i="41"/>
  <c r="Y25" i="41"/>
  <c r="R26" i="41"/>
  <c r="R9" i="41" s="1"/>
  <c r="AA31" i="41"/>
  <c r="W35" i="41"/>
  <c r="AA36" i="41"/>
  <c r="AA38" i="41"/>
  <c r="AA40" i="41"/>
  <c r="S41" i="41"/>
  <c r="R41" i="41" s="1"/>
  <c r="Y43" i="41"/>
  <c r="Z44" i="41"/>
  <c r="AA47" i="41"/>
  <c r="Y48" i="41"/>
  <c r="J51" i="41"/>
  <c r="E53" i="41"/>
  <c r="Y55" i="41"/>
  <c r="AA59" i="41"/>
  <c r="Y60" i="41"/>
  <c r="AA61" i="41"/>
  <c r="W63" i="41"/>
  <c r="I65" i="41"/>
  <c r="H65" i="41" s="1"/>
  <c r="W66" i="41"/>
  <c r="W69" i="41"/>
  <c r="K82" i="41"/>
  <c r="AA85" i="41"/>
  <c r="AA86" i="41"/>
  <c r="L104" i="41"/>
  <c r="L157" i="41" s="1"/>
  <c r="K105" i="41"/>
  <c r="Q110" i="41"/>
  <c r="X110" i="41" s="1"/>
  <c r="T104" i="41"/>
  <c r="M104" i="41" s="1"/>
  <c r="Y121" i="41"/>
  <c r="Y122" i="41"/>
  <c r="Y123" i="41"/>
  <c r="I130" i="41"/>
  <c r="H130" i="41" s="1"/>
  <c r="AA147" i="41"/>
  <c r="Z85" i="41"/>
  <c r="AA117" i="41"/>
  <c r="AA21" i="41"/>
  <c r="AA18" i="41"/>
  <c r="AA110" i="41"/>
  <c r="AA120" i="41"/>
  <c r="E9" i="41"/>
  <c r="AA17" i="41"/>
  <c r="V24" i="41"/>
  <c r="AA24" i="41"/>
  <c r="M9" i="41"/>
  <c r="Y28" i="41"/>
  <c r="X40" i="41"/>
  <c r="Y53" i="41"/>
  <c r="Y56" i="41"/>
  <c r="X63" i="41"/>
  <c r="Y65" i="41"/>
  <c r="X71" i="41"/>
  <c r="W75" i="41"/>
  <c r="AA81" i="41"/>
  <c r="W91" i="41"/>
  <c r="W93" i="41"/>
  <c r="W95" i="41"/>
  <c r="W97" i="41"/>
  <c r="W101" i="41"/>
  <c r="X102" i="41"/>
  <c r="Y112" i="41"/>
  <c r="W113" i="41"/>
  <c r="AA125" i="41"/>
  <c r="AA127" i="41"/>
  <c r="AA132" i="41"/>
  <c r="W134" i="41"/>
  <c r="X147" i="41"/>
  <c r="Z147" i="41"/>
  <c r="X152" i="41"/>
  <c r="AA113" i="41"/>
  <c r="AA16" i="41"/>
  <c r="AA19" i="41"/>
  <c r="W28" i="41"/>
  <c r="W30" i="41"/>
  <c r="X46" i="41"/>
  <c r="Z46" i="41"/>
  <c r="AA107" i="41"/>
  <c r="X127" i="41"/>
  <c r="X131" i="41"/>
  <c r="Y12" i="41"/>
  <c r="V15" i="41"/>
  <c r="V18" i="41"/>
  <c r="V19" i="41"/>
  <c r="V22" i="41"/>
  <c r="AA22" i="41"/>
  <c r="Y35" i="41"/>
  <c r="X36" i="41"/>
  <c r="Y50" i="41"/>
  <c r="AA57" i="41"/>
  <c r="S9" i="41"/>
  <c r="P9" i="41" s="1"/>
  <c r="AA20" i="41"/>
  <c r="W29" i="41"/>
  <c r="X29" i="41"/>
  <c r="Z29" i="41"/>
  <c r="W36" i="41"/>
  <c r="W38" i="41"/>
  <c r="W40" i="41"/>
  <c r="Y46" i="41"/>
  <c r="Y47" i="41"/>
  <c r="W48" i="41"/>
  <c r="X48" i="41"/>
  <c r="AA56" i="41"/>
  <c r="W60" i="41"/>
  <c r="X60" i="41"/>
  <c r="X62" i="41"/>
  <c r="W64" i="41"/>
  <c r="X64" i="41"/>
  <c r="Z64" i="41"/>
  <c r="AA65" i="41"/>
  <c r="W67" i="41"/>
  <c r="X67" i="41"/>
  <c r="Z67" i="41"/>
  <c r="I82" i="41"/>
  <c r="H82" i="41" s="1"/>
  <c r="X84" i="41"/>
  <c r="X86" i="41"/>
  <c r="X88" i="41"/>
  <c r="W89" i="41"/>
  <c r="AA102" i="41"/>
  <c r="W106" i="41"/>
  <c r="AA112" i="41"/>
  <c r="W123" i="41"/>
  <c r="X123" i="41"/>
  <c r="Y130" i="41"/>
  <c r="AA131" i="41"/>
  <c r="AA133" i="41"/>
  <c r="G144" i="41"/>
  <c r="F144" i="41" s="1"/>
  <c r="W144" i="41" s="1"/>
  <c r="K144" i="41"/>
  <c r="I144" i="41"/>
  <c r="Y138" i="41"/>
  <c r="Y140" i="41"/>
  <c r="W149" i="41"/>
  <c r="Y149" i="41"/>
  <c r="W156" i="41"/>
  <c r="AA135" i="41"/>
  <c r="X136" i="41"/>
  <c r="W142" i="41"/>
  <c r="Y143" i="41"/>
  <c r="AA83" i="41"/>
  <c r="T41" i="41"/>
  <c r="M41" i="41" s="1"/>
  <c r="T82" i="41"/>
  <c r="M82" i="41" s="1"/>
  <c r="X54" i="41"/>
  <c r="W42" i="41"/>
  <c r="F10" i="41"/>
  <c r="W12" i="41"/>
  <c r="W10" i="41" s="1"/>
  <c r="H53" i="41"/>
  <c r="W33" i="41"/>
  <c r="W50" i="41"/>
  <c r="X20" i="41"/>
  <c r="X44" i="41"/>
  <c r="W31" i="41"/>
  <c r="U156" i="41"/>
  <c r="D156" i="41" s="1"/>
  <c r="C156" i="41" s="1"/>
  <c r="V156" i="41" s="1"/>
  <c r="U151" i="41"/>
  <c r="D151" i="41" s="1"/>
  <c r="U148" i="41"/>
  <c r="U146" i="41"/>
  <c r="U140" i="41"/>
  <c r="D140" i="41" s="1"/>
  <c r="C140" i="41" s="1"/>
  <c r="V140" i="41" s="1"/>
  <c r="U135" i="41"/>
  <c r="D135" i="41" s="1"/>
  <c r="U129" i="41"/>
  <c r="D129" i="41" s="1"/>
  <c r="U123" i="41"/>
  <c r="D123" i="41" s="1"/>
  <c r="C123" i="41" s="1"/>
  <c r="V123" i="41" s="1"/>
  <c r="U121" i="41"/>
  <c r="D121" i="41" s="1"/>
  <c r="C121" i="41" s="1"/>
  <c r="U116" i="41"/>
  <c r="D116" i="41" s="1"/>
  <c r="C116" i="41" s="1"/>
  <c r="U115" i="41"/>
  <c r="D115" i="41" s="1"/>
  <c r="C115" i="41" s="1"/>
  <c r="Z115" i="41" s="1"/>
  <c r="U112" i="41"/>
  <c r="D112" i="41" s="1"/>
  <c r="C112" i="41" s="1"/>
  <c r="V112" i="41" s="1"/>
  <c r="U109" i="41"/>
  <c r="U99" i="41"/>
  <c r="U89" i="41"/>
  <c r="D89" i="41" s="1"/>
  <c r="C89" i="41" s="1"/>
  <c r="U76" i="41"/>
  <c r="D76" i="41" s="1"/>
  <c r="C76" i="41" s="1"/>
  <c r="U75" i="41"/>
  <c r="D75" i="41" s="1"/>
  <c r="C75" i="41" s="1"/>
  <c r="U74" i="41"/>
  <c r="U72" i="41"/>
  <c r="D72" i="41" s="1"/>
  <c r="C72" i="41" s="1"/>
  <c r="V72" i="41" s="1"/>
  <c r="U68" i="41"/>
  <c r="D68" i="41" s="1"/>
  <c r="C68" i="41" s="1"/>
  <c r="V68" i="41" s="1"/>
  <c r="U155" i="41"/>
  <c r="D155" i="41" s="1"/>
  <c r="U153" i="41"/>
  <c r="U152" i="41" s="1"/>
  <c r="U143" i="41"/>
  <c r="D143" i="41" s="1"/>
  <c r="C143" i="41" s="1"/>
  <c r="U132" i="41"/>
  <c r="U126" i="41"/>
  <c r="D126" i="41" s="1"/>
  <c r="C126" i="41" s="1"/>
  <c r="V126" i="41" s="1"/>
  <c r="U122" i="41"/>
  <c r="D122" i="41" s="1"/>
  <c r="C122" i="41" s="1"/>
  <c r="U118" i="41"/>
  <c r="D118" i="41" s="1"/>
  <c r="C118" i="41" s="1"/>
  <c r="U117" i="41"/>
  <c r="D117" i="41" s="1"/>
  <c r="U114" i="41"/>
  <c r="D114" i="41" s="1"/>
  <c r="C114" i="41" s="1"/>
  <c r="U113" i="41"/>
  <c r="D113" i="41" s="1"/>
  <c r="C113" i="41" s="1"/>
  <c r="U154" i="41"/>
  <c r="D154" i="41" s="1"/>
  <c r="U150" i="41"/>
  <c r="D150" i="41" s="1"/>
  <c r="C150" i="41" s="1"/>
  <c r="V150" i="41" s="1"/>
  <c r="U147" i="41"/>
  <c r="D147" i="41" s="1"/>
  <c r="C147" i="41" s="1"/>
  <c r="V147" i="41" s="1"/>
  <c r="U145" i="41"/>
  <c r="U142" i="41"/>
  <c r="D142" i="41" s="1"/>
  <c r="C142" i="41" s="1"/>
  <c r="U139" i="41"/>
  <c r="U137" i="41"/>
  <c r="D137" i="41" s="1"/>
  <c r="U136" i="41"/>
  <c r="U134" i="41"/>
  <c r="D134" i="41" s="1"/>
  <c r="C134" i="41" s="1"/>
  <c r="V134" i="41" s="1"/>
  <c r="U131" i="41"/>
  <c r="U124" i="41"/>
  <c r="D124" i="41" s="1"/>
  <c r="C124" i="41" s="1"/>
  <c r="V124" i="41" s="1"/>
  <c r="U111" i="41"/>
  <c r="D111" i="41" s="1"/>
  <c r="C111" i="41" s="1"/>
  <c r="U108" i="41"/>
  <c r="D108" i="41" s="1"/>
  <c r="C108" i="41" s="1"/>
  <c r="V108" i="41" s="1"/>
  <c r="U100" i="41"/>
  <c r="D100" i="41" s="1"/>
  <c r="C100" i="41" s="1"/>
  <c r="V100" i="41" s="1"/>
  <c r="U97" i="41"/>
  <c r="D97" i="41" s="1"/>
  <c r="C97" i="41" s="1"/>
  <c r="U96" i="41"/>
  <c r="D96" i="41" s="1"/>
  <c r="C96" i="41" s="1"/>
  <c r="U95" i="41"/>
  <c r="D95" i="41" s="1"/>
  <c r="C95" i="41" s="1"/>
  <c r="U94" i="41"/>
  <c r="D94" i="41" s="1"/>
  <c r="C94" i="41" s="1"/>
  <c r="U93" i="41"/>
  <c r="D93" i="41" s="1"/>
  <c r="C93" i="41" s="1"/>
  <c r="U92" i="41"/>
  <c r="D92" i="41" s="1"/>
  <c r="C92" i="41" s="1"/>
  <c r="U91" i="41"/>
  <c r="D91" i="41" s="1"/>
  <c r="C91" i="41" s="1"/>
  <c r="U90" i="41"/>
  <c r="D90" i="41" s="1"/>
  <c r="C90" i="41" s="1"/>
  <c r="V90" i="41" s="1"/>
  <c r="U78" i="41"/>
  <c r="U70" i="41"/>
  <c r="D70" i="41" s="1"/>
  <c r="C70" i="41" s="1"/>
  <c r="V70" i="41" s="1"/>
  <c r="U149" i="41"/>
  <c r="D149" i="41" s="1"/>
  <c r="C149" i="41" s="1"/>
  <c r="U141" i="41"/>
  <c r="U133" i="41"/>
  <c r="D133" i="41" s="1"/>
  <c r="C133" i="41" s="1"/>
  <c r="U128" i="41"/>
  <c r="D128" i="41" s="1"/>
  <c r="C128" i="41" s="1"/>
  <c r="U127" i="41"/>
  <c r="D127" i="41" s="1"/>
  <c r="C127" i="41" s="1"/>
  <c r="V127" i="41" s="1"/>
  <c r="U125" i="41"/>
  <c r="D125" i="41" s="1"/>
  <c r="C125" i="41" s="1"/>
  <c r="U120" i="41"/>
  <c r="H74" i="41"/>
  <c r="I73" i="41"/>
  <c r="H73" i="41" s="1"/>
  <c r="K77" i="41"/>
  <c r="Y77" i="41" s="1"/>
  <c r="G77" i="41"/>
  <c r="F77" i="41" s="1"/>
  <c r="W77" i="41" s="1"/>
  <c r="Q90" i="41"/>
  <c r="Q82" i="41" s="1"/>
  <c r="Y90" i="41"/>
  <c r="Q100" i="41"/>
  <c r="Y100" i="41"/>
  <c r="R104" i="41"/>
  <c r="P104" i="41"/>
  <c r="O104" i="41" s="1"/>
  <c r="H144" i="41"/>
  <c r="X145" i="41"/>
  <c r="Q144" i="41"/>
  <c r="I156" i="41"/>
  <c r="H156" i="41" s="1"/>
  <c r="X156" i="41"/>
  <c r="U12" i="41"/>
  <c r="D12" i="41" s="1"/>
  <c r="U14" i="41"/>
  <c r="D14" i="41" s="1"/>
  <c r="C14" i="41" s="1"/>
  <c r="U15" i="41"/>
  <c r="D15" i="41" s="1"/>
  <c r="U16" i="41"/>
  <c r="D16" i="41" s="1"/>
  <c r="U17" i="41"/>
  <c r="D17" i="41" s="1"/>
  <c r="U18" i="41"/>
  <c r="D18" i="41" s="1"/>
  <c r="U19" i="41"/>
  <c r="D19" i="41" s="1"/>
  <c r="U36" i="41"/>
  <c r="D36" i="41" s="1"/>
  <c r="C36" i="41" s="1"/>
  <c r="V36" i="41" s="1"/>
  <c r="U38" i="41"/>
  <c r="D38" i="41" s="1"/>
  <c r="C38" i="41" s="1"/>
  <c r="V38" i="41" s="1"/>
  <c r="U40" i="41"/>
  <c r="D40" i="41" s="1"/>
  <c r="C40" i="41" s="1"/>
  <c r="V40" i="41" s="1"/>
  <c r="U41" i="41"/>
  <c r="U44" i="41"/>
  <c r="D44" i="41" s="1"/>
  <c r="C44" i="41" s="1"/>
  <c r="V44" i="41" s="1"/>
  <c r="U46" i="41"/>
  <c r="D46" i="41" s="1"/>
  <c r="C46" i="41" s="1"/>
  <c r="V46" i="41" s="1"/>
  <c r="U49" i="41"/>
  <c r="D49" i="41" s="1"/>
  <c r="C49" i="41" s="1"/>
  <c r="Z49" i="41" s="1"/>
  <c r="U51" i="41"/>
  <c r="D51" i="41" s="1"/>
  <c r="C51" i="41" s="1"/>
  <c r="V51" i="41" s="1"/>
  <c r="U64" i="41"/>
  <c r="D64" i="41" s="1"/>
  <c r="C64" i="41" s="1"/>
  <c r="V64" i="41" s="1"/>
  <c r="U69" i="41"/>
  <c r="D69" i="41" s="1"/>
  <c r="C69" i="41" s="1"/>
  <c r="V69" i="41" s="1"/>
  <c r="Y79" i="41"/>
  <c r="U80" i="41"/>
  <c r="D80" i="41" s="1"/>
  <c r="C80" i="41" s="1"/>
  <c r="U83" i="41"/>
  <c r="U84" i="41"/>
  <c r="D84" i="41" s="1"/>
  <c r="C84" i="41" s="1"/>
  <c r="V84" i="41" s="1"/>
  <c r="U85" i="41"/>
  <c r="D85" i="41" s="1"/>
  <c r="C85" i="41" s="1"/>
  <c r="V85" i="41" s="1"/>
  <c r="U86" i="41"/>
  <c r="D86" i="41" s="1"/>
  <c r="C86" i="41" s="1"/>
  <c r="V86" i="41" s="1"/>
  <c r="U103" i="41"/>
  <c r="D103" i="41" s="1"/>
  <c r="U106" i="41"/>
  <c r="D153" i="41"/>
  <c r="C153" i="41" s="1"/>
  <c r="Y68" i="41"/>
  <c r="J68" i="41"/>
  <c r="R82" i="41"/>
  <c r="Y82" i="41" s="1"/>
  <c r="P82" i="41"/>
  <c r="O82" i="41" s="1"/>
  <c r="W82" i="41" s="1"/>
  <c r="R105" i="41"/>
  <c r="Y105" i="41" s="1"/>
  <c r="P105" i="41"/>
  <c r="O105" i="41" s="1"/>
  <c r="W105" i="41" s="1"/>
  <c r="J105" i="41"/>
  <c r="X107" i="41"/>
  <c r="L9" i="41"/>
  <c r="T9" i="41"/>
  <c r="J13" i="41"/>
  <c r="U20" i="41"/>
  <c r="Q25" i="41"/>
  <c r="X25" i="41" s="1"/>
  <c r="G26" i="41"/>
  <c r="F26" i="41" s="1"/>
  <c r="W26" i="41" s="1"/>
  <c r="U27" i="41"/>
  <c r="Q28" i="41"/>
  <c r="AA28" i="41" s="1"/>
  <c r="U29" i="41"/>
  <c r="D29" i="41" s="1"/>
  <c r="C29" i="41" s="1"/>
  <c r="V29" i="41" s="1"/>
  <c r="Q30" i="41"/>
  <c r="X30" i="41" s="1"/>
  <c r="U31" i="41"/>
  <c r="D31" i="41" s="1"/>
  <c r="C31" i="41" s="1"/>
  <c r="Q32" i="41"/>
  <c r="X32" i="41" s="1"/>
  <c r="U33" i="41"/>
  <c r="D33" i="41" s="1"/>
  <c r="C33" i="41" s="1"/>
  <c r="V33" i="41" s="1"/>
  <c r="Q34" i="41"/>
  <c r="X34" i="41" s="1"/>
  <c r="J37" i="41"/>
  <c r="J39" i="41"/>
  <c r="L41" i="41"/>
  <c r="P41" i="41"/>
  <c r="O41" i="41" s="1"/>
  <c r="Q43" i="41"/>
  <c r="J45" i="41"/>
  <c r="X47" i="41"/>
  <c r="U48" i="41"/>
  <c r="D48" i="41" s="1"/>
  <c r="C48" i="41" s="1"/>
  <c r="V48" i="41" s="1"/>
  <c r="U50" i="41"/>
  <c r="D50" i="41" s="1"/>
  <c r="C50" i="41" s="1"/>
  <c r="J52" i="41"/>
  <c r="G53" i="41"/>
  <c r="F53" i="41" s="1"/>
  <c r="W53" i="41" s="1"/>
  <c r="D54" i="41"/>
  <c r="C54" i="41" s="1"/>
  <c r="V54" i="41" s="1"/>
  <c r="H54" i="41"/>
  <c r="U54" i="41"/>
  <c r="Y54" i="41"/>
  <c r="Q55" i="41"/>
  <c r="AA55" i="41" s="1"/>
  <c r="U56" i="41"/>
  <c r="D56" i="41" s="1"/>
  <c r="C56" i="41" s="1"/>
  <c r="V56" i="41" s="1"/>
  <c r="J57" i="41"/>
  <c r="R59" i="41"/>
  <c r="Y59" i="41" s="1"/>
  <c r="U60" i="41"/>
  <c r="J61" i="41"/>
  <c r="J59" i="41" s="1"/>
  <c r="U63" i="41"/>
  <c r="D63" i="41" s="1"/>
  <c r="C63" i="41" s="1"/>
  <c r="V63" i="41" s="1"/>
  <c r="Y63" i="41"/>
  <c r="P65" i="41"/>
  <c r="O65" i="41" s="1"/>
  <c r="W65" i="41" s="1"/>
  <c r="J66" i="41"/>
  <c r="U71" i="41"/>
  <c r="D71" i="41" s="1"/>
  <c r="C71" i="41" s="1"/>
  <c r="V71" i="41" s="1"/>
  <c r="J77" i="41"/>
  <c r="Y81" i="41"/>
  <c r="U88" i="41"/>
  <c r="D88" i="41" s="1"/>
  <c r="C88" i="41" s="1"/>
  <c r="V88" i="41" s="1"/>
  <c r="Y102" i="41"/>
  <c r="Y107" i="41"/>
  <c r="D132" i="41"/>
  <c r="C132" i="41" s="1"/>
  <c r="V132" i="41" s="1"/>
  <c r="D141" i="41"/>
  <c r="C141" i="41" s="1"/>
  <c r="J70" i="41"/>
  <c r="Y70" i="41"/>
  <c r="K73" i="41"/>
  <c r="Y73" i="41" s="1"/>
  <c r="G73" i="41"/>
  <c r="F73" i="41" s="1"/>
  <c r="W73" i="41" s="1"/>
  <c r="J82" i="41"/>
  <c r="X83" i="41"/>
  <c r="H102" i="41"/>
  <c r="I98" i="41"/>
  <c r="H98" i="41" s="1"/>
  <c r="Q108" i="41"/>
  <c r="AA108" i="41" s="1"/>
  <c r="Y108" i="41"/>
  <c r="X140" i="41"/>
  <c r="X141" i="41"/>
  <c r="K10" i="41"/>
  <c r="K9" i="41" s="1"/>
  <c r="U13" i="41"/>
  <c r="D13" i="41" s="1"/>
  <c r="C13" i="41" s="1"/>
  <c r="V13" i="41" s="1"/>
  <c r="U21" i="41"/>
  <c r="U22" i="41"/>
  <c r="D22" i="41" s="1"/>
  <c r="U23" i="41"/>
  <c r="D23" i="41" s="1"/>
  <c r="U24" i="41"/>
  <c r="D24" i="41" s="1"/>
  <c r="J26" i="41"/>
  <c r="U35" i="41"/>
  <c r="D35" i="41" s="1"/>
  <c r="C35" i="41" s="1"/>
  <c r="U37" i="41"/>
  <c r="D37" i="41" s="1"/>
  <c r="C37" i="41" s="1"/>
  <c r="V37" i="41" s="1"/>
  <c r="U39" i="41"/>
  <c r="D39" i="41" s="1"/>
  <c r="C39" i="41" s="1"/>
  <c r="V39" i="41" s="1"/>
  <c r="U45" i="41"/>
  <c r="D45" i="41" s="1"/>
  <c r="C45" i="41" s="1"/>
  <c r="V45" i="41" s="1"/>
  <c r="U57" i="41"/>
  <c r="D57" i="41" s="1"/>
  <c r="C57" i="41" s="1"/>
  <c r="V57" i="41" s="1"/>
  <c r="U58" i="41"/>
  <c r="D58" i="41" s="1"/>
  <c r="C58" i="41" s="1"/>
  <c r="U61" i="41"/>
  <c r="D61" i="41" s="1"/>
  <c r="C61" i="41" s="1"/>
  <c r="V61" i="41" s="1"/>
  <c r="U62" i="41"/>
  <c r="D62" i="41" s="1"/>
  <c r="C62" i="41" s="1"/>
  <c r="V62" i="41" s="1"/>
  <c r="U67" i="41"/>
  <c r="D67" i="41" s="1"/>
  <c r="C67" i="41" s="1"/>
  <c r="V67" i="41" s="1"/>
  <c r="H77" i="41"/>
  <c r="U79" i="41"/>
  <c r="Y83" i="41"/>
  <c r="Y84" i="41"/>
  <c r="Y85" i="41"/>
  <c r="Y86" i="41"/>
  <c r="U87" i="41"/>
  <c r="D87" i="41" s="1"/>
  <c r="C87" i="41" s="1"/>
  <c r="D109" i="41"/>
  <c r="C109" i="41" s="1"/>
  <c r="U110" i="41"/>
  <c r="D110" i="41" s="1"/>
  <c r="C110" i="41" s="1"/>
  <c r="D120" i="41"/>
  <c r="C120" i="41" s="1"/>
  <c r="V120" i="41" s="1"/>
  <c r="N157" i="41"/>
  <c r="Y72" i="41"/>
  <c r="J72" i="41"/>
  <c r="Q78" i="41"/>
  <c r="Q77" i="41" s="1"/>
  <c r="AA77" i="41" s="1"/>
  <c r="Y78" i="41"/>
  <c r="D79" i="41"/>
  <c r="C79" i="41" s="1"/>
  <c r="V79" i="41" s="1"/>
  <c r="E77" i="41"/>
  <c r="K98" i="41"/>
  <c r="Y98" i="41" s="1"/>
  <c r="G98" i="41"/>
  <c r="F98" i="41" s="1"/>
  <c r="P98" i="41"/>
  <c r="O98" i="41" s="1"/>
  <c r="R98" i="41"/>
  <c r="X120" i="41"/>
  <c r="U11" i="41"/>
  <c r="U25" i="41"/>
  <c r="U28" i="41"/>
  <c r="D28" i="41" s="1"/>
  <c r="C28" i="41" s="1"/>
  <c r="V28" i="41" s="1"/>
  <c r="U30" i="41"/>
  <c r="D30" i="41" s="1"/>
  <c r="C30" i="41" s="1"/>
  <c r="V30" i="41" s="1"/>
  <c r="U32" i="41"/>
  <c r="D32" i="41" s="1"/>
  <c r="C32" i="41" s="1"/>
  <c r="V32" i="41" s="1"/>
  <c r="U34" i="41"/>
  <c r="D34" i="41" s="1"/>
  <c r="C34" i="41" s="1"/>
  <c r="V34" i="41" s="1"/>
  <c r="U43" i="41"/>
  <c r="U47" i="41"/>
  <c r="D47" i="41" s="1"/>
  <c r="C47" i="41" s="1"/>
  <c r="U52" i="41"/>
  <c r="D52" i="41" s="1"/>
  <c r="C52" i="41" s="1"/>
  <c r="V52" i="41" s="1"/>
  <c r="U55" i="41"/>
  <c r="D55" i="41" s="1"/>
  <c r="C55" i="41" s="1"/>
  <c r="V55" i="41" s="1"/>
  <c r="U66" i="41"/>
  <c r="Y74" i="41"/>
  <c r="W78" i="41"/>
  <c r="U81" i="41"/>
  <c r="D81" i="41" s="1"/>
  <c r="C81" i="41" s="1"/>
  <c r="V81" i="41" s="1"/>
  <c r="Y88" i="41"/>
  <c r="Y99" i="41"/>
  <c r="U101" i="41"/>
  <c r="D101" i="41" s="1"/>
  <c r="C101" i="41" s="1"/>
  <c r="V101" i="41" s="1"/>
  <c r="U102" i="41"/>
  <c r="D102" i="41" s="1"/>
  <c r="C102" i="41" s="1"/>
  <c r="V102" i="41" s="1"/>
  <c r="I104" i="41"/>
  <c r="U104" i="41"/>
  <c r="U107" i="41"/>
  <c r="D107" i="41" s="1"/>
  <c r="C107" i="41" s="1"/>
  <c r="V107" i="41" s="1"/>
  <c r="Y109" i="41"/>
  <c r="Q119" i="41"/>
  <c r="AA119" i="41" s="1"/>
  <c r="W124" i="41"/>
  <c r="D146" i="41"/>
  <c r="C146" i="41" s="1"/>
  <c r="D148" i="41"/>
  <c r="C148" i="41" s="1"/>
  <c r="W150" i="41"/>
  <c r="W153" i="41"/>
  <c r="Y120" i="41"/>
  <c r="Y127" i="41"/>
  <c r="Y111" i="41"/>
  <c r="Y124" i="41"/>
  <c r="J126" i="41"/>
  <c r="G130" i="41"/>
  <c r="F130" i="41" s="1"/>
  <c r="W130" i="41" s="1"/>
  <c r="Y131" i="41"/>
  <c r="J132" i="41"/>
  <c r="Z132" i="41" s="1"/>
  <c r="J134" i="41"/>
  <c r="E138" i="41"/>
  <c r="I138" i="41"/>
  <c r="H138" i="41" s="1"/>
  <c r="Q143" i="41"/>
  <c r="X143" i="41" s="1"/>
  <c r="J144" i="41"/>
  <c r="R144" i="41"/>
  <c r="Y144" i="41" s="1"/>
  <c r="H145" i="41"/>
  <c r="Y145" i="41"/>
  <c r="Y147" i="41"/>
  <c r="Y150" i="41"/>
  <c r="G152" i="41"/>
  <c r="F152" i="41" s="1"/>
  <c r="W152" i="41" s="1"/>
  <c r="M152" i="41"/>
  <c r="AA152" i="41" s="1"/>
  <c r="S157" i="41"/>
  <c r="E130" i="41"/>
  <c r="G138" i="41"/>
  <c r="F138" i="41" s="1"/>
  <c r="W138" i="41" s="1"/>
  <c r="E152" i="41"/>
  <c r="X59" i="41" l="1"/>
  <c r="V149" i="41"/>
  <c r="Z149" i="41"/>
  <c r="V143" i="41"/>
  <c r="Z143" i="41"/>
  <c r="Y9" i="41"/>
  <c r="V148" i="41"/>
  <c r="Z148" i="41"/>
  <c r="V118" i="41"/>
  <c r="Z118" i="41"/>
  <c r="V89" i="41"/>
  <c r="Z89" i="41"/>
  <c r="X139" i="41"/>
  <c r="H104" i="41"/>
  <c r="E41" i="41"/>
  <c r="D41" i="41" s="1"/>
  <c r="C41" i="41" s="1"/>
  <c r="X72" i="41"/>
  <c r="Z72" i="41"/>
  <c r="V50" i="41"/>
  <c r="Z50" i="41"/>
  <c r="X37" i="41"/>
  <c r="Z37" i="41"/>
  <c r="V31" i="41"/>
  <c r="Z31" i="41"/>
  <c r="X13" i="41"/>
  <c r="X10" i="41" s="1"/>
  <c r="Z13" i="41"/>
  <c r="Q98" i="41"/>
  <c r="AA100" i="41"/>
  <c r="V125" i="41"/>
  <c r="Z125" i="41"/>
  <c r="V94" i="41"/>
  <c r="Z94" i="41"/>
  <c r="V76" i="41"/>
  <c r="Z76" i="41"/>
  <c r="Z150" i="41"/>
  <c r="AA90" i="41"/>
  <c r="Z86" i="41"/>
  <c r="Z62" i="41"/>
  <c r="Z48" i="41"/>
  <c r="AA30" i="41"/>
  <c r="Z36" i="41"/>
  <c r="Z71" i="41"/>
  <c r="Z40" i="41"/>
  <c r="Z69" i="41"/>
  <c r="Z120" i="41"/>
  <c r="AA144" i="41"/>
  <c r="Z28" i="41"/>
  <c r="Z55" i="41"/>
  <c r="Z32" i="41"/>
  <c r="Z108" i="41"/>
  <c r="V110" i="41"/>
  <c r="Z110" i="41"/>
  <c r="V58" i="41"/>
  <c r="Z58" i="41"/>
  <c r="V95" i="41"/>
  <c r="Z95" i="41"/>
  <c r="V142" i="41"/>
  <c r="Z142" i="41"/>
  <c r="X134" i="41"/>
  <c r="Z134" i="41"/>
  <c r="X126" i="41"/>
  <c r="Z126" i="41"/>
  <c r="V146" i="41"/>
  <c r="Z146" i="41"/>
  <c r="U10" i="41"/>
  <c r="W98" i="41"/>
  <c r="V109" i="41"/>
  <c r="Z109" i="41"/>
  <c r="V35" i="41"/>
  <c r="Z35" i="41"/>
  <c r="J138" i="41"/>
  <c r="X82" i="41"/>
  <c r="X70" i="41"/>
  <c r="Z70" i="41"/>
  <c r="V14" i="41"/>
  <c r="Z14" i="41"/>
  <c r="Y104" i="41"/>
  <c r="V128" i="41"/>
  <c r="Z128" i="41"/>
  <c r="V92" i="41"/>
  <c r="Z92" i="41"/>
  <c r="V96" i="41"/>
  <c r="Z96" i="41"/>
  <c r="V111" i="41"/>
  <c r="Z111" i="41"/>
  <c r="V113" i="41"/>
  <c r="Z113" i="41"/>
  <c r="V122" i="41"/>
  <c r="Z122" i="41"/>
  <c r="V116" i="41"/>
  <c r="Z116" i="41"/>
  <c r="X12" i="41"/>
  <c r="AA25" i="41"/>
  <c r="Z123" i="41"/>
  <c r="Z88" i="41"/>
  <c r="Z84" i="41"/>
  <c r="Z54" i="41"/>
  <c r="Z100" i="41"/>
  <c r="Z156" i="41"/>
  <c r="AA32" i="41"/>
  <c r="Z140" i="41"/>
  <c r="Z30" i="41"/>
  <c r="Z101" i="41"/>
  <c r="X51" i="41"/>
  <c r="Z51" i="41"/>
  <c r="Z33" i="41"/>
  <c r="Z81" i="41"/>
  <c r="X68" i="41"/>
  <c r="Z68" i="41"/>
  <c r="V80" i="41"/>
  <c r="Z80" i="41"/>
  <c r="V91" i="41"/>
  <c r="Z91" i="41"/>
  <c r="K104" i="41"/>
  <c r="G104" i="41"/>
  <c r="F104" i="41" s="1"/>
  <c r="W104" i="41" s="1"/>
  <c r="AA34" i="41"/>
  <c r="D104" i="41"/>
  <c r="C104" i="41" s="1"/>
  <c r="V104" i="41" s="1"/>
  <c r="V47" i="41"/>
  <c r="Z47" i="41"/>
  <c r="V87" i="41"/>
  <c r="Z87" i="41"/>
  <c r="V141" i="41"/>
  <c r="Z141" i="41"/>
  <c r="X61" i="41"/>
  <c r="Z61" i="41"/>
  <c r="X57" i="41"/>
  <c r="Z57" i="41"/>
  <c r="X52" i="41"/>
  <c r="Z52" i="41"/>
  <c r="X45" i="41"/>
  <c r="Z45" i="41"/>
  <c r="X39" i="41"/>
  <c r="Z39" i="41"/>
  <c r="V153" i="41"/>
  <c r="Z153" i="41"/>
  <c r="U119" i="41"/>
  <c r="D119" i="41" s="1"/>
  <c r="C119" i="41" s="1"/>
  <c r="V119" i="41" s="1"/>
  <c r="V133" i="41"/>
  <c r="Z133" i="41"/>
  <c r="V93" i="41"/>
  <c r="Z93" i="41"/>
  <c r="V97" i="41"/>
  <c r="Z97" i="41"/>
  <c r="V114" i="41"/>
  <c r="Z114" i="41"/>
  <c r="V75" i="41"/>
  <c r="Z75" i="41"/>
  <c r="V121" i="41"/>
  <c r="Z121" i="41"/>
  <c r="AA82" i="41"/>
  <c r="Z127" i="41"/>
  <c r="Z90" i="41"/>
  <c r="AA143" i="41"/>
  <c r="Z102" i="41"/>
  <c r="Z63" i="41"/>
  <c r="Y26" i="41"/>
  <c r="Z107" i="41"/>
  <c r="H10" i="41"/>
  <c r="I9" i="41"/>
  <c r="Z38" i="41"/>
  <c r="Z112" i="41"/>
  <c r="Z79" i="41"/>
  <c r="AA78" i="41"/>
  <c r="Z34" i="41"/>
  <c r="V41" i="41"/>
  <c r="T157" i="41"/>
  <c r="M157" i="41" s="1"/>
  <c r="Q53" i="41"/>
  <c r="AA53" i="41" s="1"/>
  <c r="X55" i="41"/>
  <c r="U130" i="41"/>
  <c r="U157" i="41" s="1"/>
  <c r="D131" i="41"/>
  <c r="C131" i="41" s="1"/>
  <c r="D139" i="41"/>
  <c r="C139" i="41" s="1"/>
  <c r="V139" i="41" s="1"/>
  <c r="U138" i="41"/>
  <c r="D130" i="41"/>
  <c r="C130" i="41" s="1"/>
  <c r="V130" i="41" s="1"/>
  <c r="J119" i="41"/>
  <c r="X77" i="41"/>
  <c r="X90" i="41"/>
  <c r="F9" i="41"/>
  <c r="X132" i="41"/>
  <c r="J130" i="41"/>
  <c r="U9" i="41"/>
  <c r="Q105" i="41"/>
  <c r="X108" i="41"/>
  <c r="U59" i="41"/>
  <c r="D59" i="41" s="1"/>
  <c r="C59" i="41" s="1"/>
  <c r="V59" i="41" s="1"/>
  <c r="D60" i="41"/>
  <c r="C60" i="41" s="1"/>
  <c r="Q42" i="41"/>
  <c r="X43" i="41"/>
  <c r="U26" i="41"/>
  <c r="D27" i="41"/>
  <c r="J104" i="41"/>
  <c r="U82" i="41"/>
  <c r="D82" i="41" s="1"/>
  <c r="C82" i="41" s="1"/>
  <c r="V82" i="41" s="1"/>
  <c r="D83" i="41"/>
  <c r="C83" i="41" s="1"/>
  <c r="U77" i="41"/>
  <c r="D77" i="41" s="1"/>
  <c r="C77" i="41" s="1"/>
  <c r="D78" i="41"/>
  <c r="C78" i="41" s="1"/>
  <c r="J42" i="41"/>
  <c r="X100" i="41"/>
  <c r="Q10" i="41"/>
  <c r="AA10" i="41" s="1"/>
  <c r="W9" i="41"/>
  <c r="J53" i="41"/>
  <c r="E157" i="41"/>
  <c r="D152" i="41"/>
  <c r="C152" i="41" s="1"/>
  <c r="K157" i="41"/>
  <c r="G157" i="41"/>
  <c r="F157" i="41" s="1"/>
  <c r="L2" i="41"/>
  <c r="X144" i="41"/>
  <c r="J65" i="41"/>
  <c r="X66" i="41"/>
  <c r="Q26" i="41"/>
  <c r="X28" i="41"/>
  <c r="C12" i="41"/>
  <c r="Z12" i="41" s="1"/>
  <c r="D10" i="41"/>
  <c r="U144" i="41"/>
  <c r="D144" i="41" s="1"/>
  <c r="D145" i="41"/>
  <c r="C145" i="41" s="1"/>
  <c r="D74" i="41"/>
  <c r="C74" i="41" s="1"/>
  <c r="U73" i="41"/>
  <c r="D73" i="41" s="1"/>
  <c r="C73" i="41" s="1"/>
  <c r="D99" i="41"/>
  <c r="C99" i="41" s="1"/>
  <c r="U98" i="41"/>
  <c r="D98" i="41" s="1"/>
  <c r="C98" i="41" s="1"/>
  <c r="V98" i="41" s="1"/>
  <c r="U53" i="41"/>
  <c r="D53" i="41" s="1"/>
  <c r="C53" i="41" s="1"/>
  <c r="V53" i="41" s="1"/>
  <c r="R157" i="41"/>
  <c r="P157" i="41"/>
  <c r="O157" i="41" s="1"/>
  <c r="D66" i="41"/>
  <c r="C66" i="41" s="1"/>
  <c r="V66" i="41" s="1"/>
  <c r="U65" i="41"/>
  <c r="D65" i="41" s="1"/>
  <c r="C65" i="41" s="1"/>
  <c r="V65" i="41" s="1"/>
  <c r="D43" i="41"/>
  <c r="C43" i="41" s="1"/>
  <c r="U42" i="41"/>
  <c r="D42" i="41" s="1"/>
  <c r="C42" i="41" s="1"/>
  <c r="V42" i="41" s="1"/>
  <c r="K41" i="41"/>
  <c r="Y41" i="41" s="1"/>
  <c r="G41" i="41"/>
  <c r="F41" i="41" s="1"/>
  <c r="W41" i="41" s="1"/>
  <c r="H41" i="41"/>
  <c r="G9" i="41"/>
  <c r="H9" i="41"/>
  <c r="U105" i="41"/>
  <c r="D105" i="41" s="1"/>
  <c r="C105" i="41" s="1"/>
  <c r="V105" i="41" s="1"/>
  <c r="D106" i="41"/>
  <c r="C106" i="41" s="1"/>
  <c r="D138" i="41"/>
  <c r="C138" i="41" s="1"/>
  <c r="V138" i="41" s="1"/>
  <c r="Q138" i="41"/>
  <c r="J10" i="41"/>
  <c r="X78" i="41"/>
  <c r="I41" i="41"/>
  <c r="I157" i="41" s="1"/>
  <c r="V77" i="41" l="1"/>
  <c r="Z77" i="41"/>
  <c r="V106" i="41"/>
  <c r="Z106" i="41"/>
  <c r="V152" i="41"/>
  <c r="Z152" i="41"/>
  <c r="V60" i="41"/>
  <c r="Z60" i="41"/>
  <c r="V74" i="41"/>
  <c r="Z74" i="41"/>
  <c r="X65" i="41"/>
  <c r="Z65" i="41"/>
  <c r="V78" i="41"/>
  <c r="Z78" i="41"/>
  <c r="Z104" i="41"/>
  <c r="Q41" i="41"/>
  <c r="AA41" i="41" s="1"/>
  <c r="AA42" i="41"/>
  <c r="Q104" i="41"/>
  <c r="AA104" i="41" s="1"/>
  <c r="AA105" i="41"/>
  <c r="X119" i="41"/>
  <c r="Z119" i="41"/>
  <c r="V131" i="41"/>
  <c r="Z131" i="41"/>
  <c r="Z138" i="41"/>
  <c r="Z98" i="41"/>
  <c r="Z139" i="41"/>
  <c r="V83" i="41"/>
  <c r="Z83" i="41"/>
  <c r="U3" i="41"/>
  <c r="X130" i="41"/>
  <c r="Z130" i="41"/>
  <c r="Z82" i="41"/>
  <c r="AA98" i="41"/>
  <c r="X98" i="41"/>
  <c r="Z59" i="41"/>
  <c r="V43" i="41"/>
  <c r="Z43" i="41"/>
  <c r="V145" i="41"/>
  <c r="Z145" i="41"/>
  <c r="V99" i="41"/>
  <c r="Z99" i="41"/>
  <c r="X26" i="41"/>
  <c r="AA26" i="41"/>
  <c r="X138" i="41"/>
  <c r="AA138" i="41"/>
  <c r="H157" i="41"/>
  <c r="V73" i="41"/>
  <c r="Z73" i="41"/>
  <c r="X53" i="41"/>
  <c r="Z53" i="41"/>
  <c r="Z42" i="41"/>
  <c r="Z66" i="41"/>
  <c r="Z105" i="41"/>
  <c r="J9" i="41"/>
  <c r="Z10" i="41"/>
  <c r="C27" i="41"/>
  <c r="D26" i="41"/>
  <c r="C26" i="41" s="1"/>
  <c r="Y157" i="41"/>
  <c r="V12" i="41"/>
  <c r="C10" i="41"/>
  <c r="J41" i="41"/>
  <c r="Z41" i="41" s="1"/>
  <c r="X42" i="41"/>
  <c r="W157" i="41"/>
  <c r="D9" i="41"/>
  <c r="D157" i="41" s="1"/>
  <c r="X105" i="41"/>
  <c r="X9" i="41"/>
  <c r="C144" i="41"/>
  <c r="Q9" i="41"/>
  <c r="Q157" i="41" l="1"/>
  <c r="AA157" i="41" s="1"/>
  <c r="AA9" i="41"/>
  <c r="V27" i="41"/>
  <c r="Z27" i="41"/>
  <c r="X104" i="41"/>
  <c r="V144" i="41"/>
  <c r="Z144" i="41"/>
  <c r="V26" i="41"/>
  <c r="Z26" i="41"/>
  <c r="C157" i="41"/>
  <c r="V157" i="41" s="1"/>
  <c r="D2" i="41"/>
  <c r="V10" i="41"/>
  <c r="V9" i="41" s="1"/>
  <c r="C9" i="41"/>
  <c r="Z9" i="41" s="1"/>
  <c r="X41" i="41"/>
  <c r="J157" i="41"/>
  <c r="T44" i="36"/>
  <c r="E153" i="36"/>
  <c r="E152" i="36" s="1"/>
  <c r="E149" i="36"/>
  <c r="E143" i="36"/>
  <c r="E61" i="36"/>
  <c r="E59" i="36" s="1"/>
  <c r="E132" i="36"/>
  <c r="E133" i="36"/>
  <c r="E31" i="36"/>
  <c r="E57" i="36"/>
  <c r="E123" i="36"/>
  <c r="E50" i="36"/>
  <c r="H150" i="36"/>
  <c r="G36" i="36"/>
  <c r="F36" i="36" s="1"/>
  <c r="G37" i="36"/>
  <c r="F37" i="36" s="1"/>
  <c r="G38" i="36"/>
  <c r="F38" i="36" s="1"/>
  <c r="G39" i="36"/>
  <c r="G40" i="36"/>
  <c r="G43" i="36"/>
  <c r="G44" i="36"/>
  <c r="F44" i="36" s="1"/>
  <c r="G45" i="36"/>
  <c r="F45" i="36" s="1"/>
  <c r="G46" i="36"/>
  <c r="G47" i="36"/>
  <c r="F47" i="36" s="1"/>
  <c r="W47" i="36" s="1"/>
  <c r="G48" i="36"/>
  <c r="F48" i="36" s="1"/>
  <c r="G49" i="36"/>
  <c r="G50" i="36"/>
  <c r="F50" i="36" s="1"/>
  <c r="G51" i="36"/>
  <c r="G52" i="36"/>
  <c r="F52" i="36" s="1"/>
  <c r="G54" i="36"/>
  <c r="G55" i="36"/>
  <c r="F55" i="36" s="1"/>
  <c r="G56" i="36"/>
  <c r="F56" i="36" s="1"/>
  <c r="G57" i="36"/>
  <c r="F57" i="36" s="1"/>
  <c r="G58" i="36"/>
  <c r="F58" i="36" s="1"/>
  <c r="G60" i="36"/>
  <c r="F60" i="36" s="1"/>
  <c r="G61" i="36"/>
  <c r="G62" i="36"/>
  <c r="G63" i="36"/>
  <c r="F63" i="36" s="1"/>
  <c r="W63" i="36" s="1"/>
  <c r="G64" i="36"/>
  <c r="G66" i="36"/>
  <c r="G67" i="36"/>
  <c r="F67" i="36" s="1"/>
  <c r="G68" i="36"/>
  <c r="F68" i="36" s="1"/>
  <c r="G69" i="36"/>
  <c r="F69" i="36" s="1"/>
  <c r="G70" i="36"/>
  <c r="G71" i="36"/>
  <c r="F71" i="36" s="1"/>
  <c r="G72" i="36"/>
  <c r="F72" i="36" s="1"/>
  <c r="G74" i="36"/>
  <c r="G75" i="36"/>
  <c r="F75" i="36" s="1"/>
  <c r="G76" i="36"/>
  <c r="F76" i="36" s="1"/>
  <c r="G78" i="36"/>
  <c r="F78" i="36" s="1"/>
  <c r="G79" i="36"/>
  <c r="F79" i="36" s="1"/>
  <c r="G80" i="36"/>
  <c r="F80" i="36" s="1"/>
  <c r="G81" i="36"/>
  <c r="F81" i="36" s="1"/>
  <c r="G83" i="36"/>
  <c r="F83" i="36" s="1"/>
  <c r="G84" i="36"/>
  <c r="F84" i="36" s="1"/>
  <c r="G85" i="36"/>
  <c r="F85" i="36" s="1"/>
  <c r="G86" i="36"/>
  <c r="G87" i="36"/>
  <c r="F87" i="36" s="1"/>
  <c r="G88" i="36"/>
  <c r="F88" i="36" s="1"/>
  <c r="G89" i="36"/>
  <c r="G90" i="36"/>
  <c r="G91" i="36"/>
  <c r="F91" i="36" s="1"/>
  <c r="G92" i="36"/>
  <c r="F92" i="36" s="1"/>
  <c r="G93" i="36"/>
  <c r="F93" i="36" s="1"/>
  <c r="G94" i="36"/>
  <c r="G95" i="36"/>
  <c r="F95" i="36" s="1"/>
  <c r="G96" i="36"/>
  <c r="F96" i="36" s="1"/>
  <c r="G97" i="36"/>
  <c r="F97" i="36" s="1"/>
  <c r="G99" i="36"/>
  <c r="F99" i="36" s="1"/>
  <c r="G100" i="36"/>
  <c r="G101" i="36"/>
  <c r="F101" i="36" s="1"/>
  <c r="G102" i="36"/>
  <c r="G103" i="36"/>
  <c r="F103" i="36" s="1"/>
  <c r="G106" i="36"/>
  <c r="G107" i="36"/>
  <c r="G108" i="36"/>
  <c r="F108" i="36" s="1"/>
  <c r="G109" i="36"/>
  <c r="F109" i="36" s="1"/>
  <c r="G110" i="36"/>
  <c r="G111" i="36"/>
  <c r="F111" i="36" s="1"/>
  <c r="G112" i="36"/>
  <c r="G113" i="36"/>
  <c r="F113" i="36" s="1"/>
  <c r="G114" i="36"/>
  <c r="G115" i="36"/>
  <c r="G116" i="36"/>
  <c r="F116" i="36" s="1"/>
  <c r="G117" i="36"/>
  <c r="G118" i="36"/>
  <c r="G120" i="36"/>
  <c r="F120" i="36" s="1"/>
  <c r="G121" i="36"/>
  <c r="F121" i="36" s="1"/>
  <c r="G122" i="36"/>
  <c r="F122" i="36" s="1"/>
  <c r="G123" i="36"/>
  <c r="F123" i="36" s="1"/>
  <c r="G124" i="36"/>
  <c r="F124" i="36" s="1"/>
  <c r="G125" i="36"/>
  <c r="F125" i="36" s="1"/>
  <c r="G126" i="36"/>
  <c r="G127" i="36"/>
  <c r="G128" i="36"/>
  <c r="G129" i="36"/>
  <c r="F129" i="36" s="1"/>
  <c r="G131" i="36"/>
  <c r="F131" i="36" s="1"/>
  <c r="G132" i="36"/>
  <c r="F132" i="36" s="1"/>
  <c r="G133" i="36"/>
  <c r="F133" i="36" s="1"/>
  <c r="G134" i="36"/>
  <c r="G135" i="36"/>
  <c r="F135" i="36" s="1"/>
  <c r="W135" i="36" s="1"/>
  <c r="G136" i="36"/>
  <c r="G137" i="36"/>
  <c r="F137" i="36" s="1"/>
  <c r="G139" i="36"/>
  <c r="G140" i="36"/>
  <c r="F140" i="36" s="1"/>
  <c r="G141" i="36"/>
  <c r="G142" i="36"/>
  <c r="G143" i="36"/>
  <c r="F143" i="36" s="1"/>
  <c r="G145" i="36"/>
  <c r="F145" i="36" s="1"/>
  <c r="G146" i="36"/>
  <c r="G147" i="36"/>
  <c r="F147" i="36" s="1"/>
  <c r="G148" i="36"/>
  <c r="G149" i="36"/>
  <c r="G150" i="36"/>
  <c r="G151" i="36"/>
  <c r="G153" i="36"/>
  <c r="G154" i="36"/>
  <c r="G155" i="36"/>
  <c r="G156" i="36"/>
  <c r="G27" i="36"/>
  <c r="F27" i="36" s="1"/>
  <c r="G28" i="36"/>
  <c r="F28" i="36" s="1"/>
  <c r="W28" i="36" s="1"/>
  <c r="G29" i="36"/>
  <c r="G30" i="36"/>
  <c r="G31" i="36"/>
  <c r="G32" i="36"/>
  <c r="F32" i="36" s="1"/>
  <c r="G33" i="36"/>
  <c r="G34" i="36"/>
  <c r="G35" i="36"/>
  <c r="F35" i="36" s="1"/>
  <c r="G13" i="36"/>
  <c r="F13" i="36" s="1"/>
  <c r="W13" i="36" s="1"/>
  <c r="G14" i="36"/>
  <c r="G15" i="36"/>
  <c r="G16" i="36"/>
  <c r="G17" i="36"/>
  <c r="F17" i="36" s="1"/>
  <c r="G18" i="36"/>
  <c r="G19" i="36"/>
  <c r="G20" i="36"/>
  <c r="G21" i="36"/>
  <c r="F21" i="36" s="1"/>
  <c r="W21" i="36" s="1"/>
  <c r="G22" i="36"/>
  <c r="G23" i="36"/>
  <c r="G24" i="36"/>
  <c r="G25" i="36"/>
  <c r="F25" i="36" s="1"/>
  <c r="W25" i="36" s="1"/>
  <c r="G12" i="36"/>
  <c r="E142" i="36"/>
  <c r="E150" i="36"/>
  <c r="E148" i="36"/>
  <c r="E146" i="36"/>
  <c r="E141" i="36"/>
  <c r="E139" i="36"/>
  <c r="E134" i="36"/>
  <c r="E120" i="36"/>
  <c r="E109" i="36"/>
  <c r="E106" i="36"/>
  <c r="E105" i="36" s="1"/>
  <c r="E44" i="36"/>
  <c r="T143" i="36"/>
  <c r="M143" i="36" s="1"/>
  <c r="M149" i="36"/>
  <c r="T79" i="36"/>
  <c r="M79" i="36" s="1"/>
  <c r="T134" i="36"/>
  <c r="M134" i="36" s="1"/>
  <c r="T153" i="36"/>
  <c r="M153" i="36" s="1"/>
  <c r="T142" i="36"/>
  <c r="M142" i="36" s="1"/>
  <c r="T139" i="36"/>
  <c r="M139" i="36" s="1"/>
  <c r="T50" i="36"/>
  <c r="T148" i="36"/>
  <c r="T144" i="36" s="1"/>
  <c r="M144" i="36" s="1"/>
  <c r="M50" i="36"/>
  <c r="M44" i="36"/>
  <c r="U8" i="36"/>
  <c r="P11" i="36"/>
  <c r="P12" i="36"/>
  <c r="P13" i="36"/>
  <c r="P14" i="36"/>
  <c r="P15" i="36"/>
  <c r="P16" i="36"/>
  <c r="P17" i="36"/>
  <c r="P18" i="36"/>
  <c r="P19" i="36"/>
  <c r="O19" i="36" s="1"/>
  <c r="P20" i="36"/>
  <c r="P21" i="36"/>
  <c r="P22" i="36"/>
  <c r="P23" i="36"/>
  <c r="O23" i="36" s="1"/>
  <c r="P24" i="36"/>
  <c r="P25" i="36"/>
  <c r="P27" i="36"/>
  <c r="O27" i="36" s="1"/>
  <c r="P28" i="36"/>
  <c r="P29" i="36"/>
  <c r="P30" i="36"/>
  <c r="P31" i="36"/>
  <c r="O31" i="36" s="1"/>
  <c r="P32" i="36"/>
  <c r="P33" i="36"/>
  <c r="P34" i="36"/>
  <c r="P35" i="36"/>
  <c r="O35" i="36" s="1"/>
  <c r="P36" i="36"/>
  <c r="P37" i="36"/>
  <c r="P38" i="36"/>
  <c r="P39" i="36"/>
  <c r="O39" i="36" s="1"/>
  <c r="P40" i="36"/>
  <c r="P42" i="36"/>
  <c r="P43" i="36"/>
  <c r="O43" i="36" s="1"/>
  <c r="P44" i="36"/>
  <c r="P45" i="36"/>
  <c r="P46" i="36"/>
  <c r="P47" i="36"/>
  <c r="P48" i="36"/>
  <c r="P49" i="36"/>
  <c r="P50" i="36"/>
  <c r="O50" i="36" s="1"/>
  <c r="P51" i="36"/>
  <c r="P52" i="36"/>
  <c r="P54" i="36"/>
  <c r="O54" i="36" s="1"/>
  <c r="P55" i="36"/>
  <c r="O55" i="36" s="1"/>
  <c r="P56" i="36"/>
  <c r="P57" i="36"/>
  <c r="P58" i="36"/>
  <c r="P60" i="36"/>
  <c r="P61" i="36"/>
  <c r="P62" i="36"/>
  <c r="O62" i="36" s="1"/>
  <c r="P63" i="36"/>
  <c r="P64" i="36"/>
  <c r="O64" i="36" s="1"/>
  <c r="P66" i="36"/>
  <c r="O66" i="36" s="1"/>
  <c r="P67" i="36"/>
  <c r="O67" i="36" s="1"/>
  <c r="P68" i="36"/>
  <c r="O68" i="36" s="1"/>
  <c r="P69" i="36"/>
  <c r="P70" i="36"/>
  <c r="P71" i="36"/>
  <c r="O71" i="36" s="1"/>
  <c r="P72" i="36"/>
  <c r="O72" i="36" s="1"/>
  <c r="P74" i="36"/>
  <c r="O74" i="36" s="1"/>
  <c r="P75" i="36"/>
  <c r="P76" i="36"/>
  <c r="P78" i="36"/>
  <c r="O78" i="36" s="1"/>
  <c r="P79" i="36"/>
  <c r="P80" i="36"/>
  <c r="P81" i="36"/>
  <c r="P82" i="36"/>
  <c r="O82" i="36" s="1"/>
  <c r="P83" i="36"/>
  <c r="O83" i="36" s="1"/>
  <c r="P84" i="36"/>
  <c r="O84" i="36" s="1"/>
  <c r="P85" i="36"/>
  <c r="P86" i="36"/>
  <c r="O86" i="36" s="1"/>
  <c r="P87" i="36"/>
  <c r="O87" i="36" s="1"/>
  <c r="P88" i="36"/>
  <c r="P89" i="36"/>
  <c r="P90" i="36"/>
  <c r="O90" i="36" s="1"/>
  <c r="P91" i="36"/>
  <c r="P92" i="36"/>
  <c r="P93" i="36"/>
  <c r="P94" i="36"/>
  <c r="P95" i="36"/>
  <c r="P96" i="36"/>
  <c r="P97" i="36"/>
  <c r="P99" i="36"/>
  <c r="O99" i="36" s="1"/>
  <c r="P100" i="36"/>
  <c r="O100" i="36" s="1"/>
  <c r="P101" i="36"/>
  <c r="P102" i="36"/>
  <c r="O102" i="36" s="1"/>
  <c r="P103" i="36"/>
  <c r="O103" i="36" s="1"/>
  <c r="P106" i="36"/>
  <c r="O106" i="36" s="1"/>
  <c r="P107" i="36"/>
  <c r="O107" i="36" s="1"/>
  <c r="P108" i="36"/>
  <c r="O108" i="36" s="1"/>
  <c r="P109" i="36"/>
  <c r="P110" i="36"/>
  <c r="O110" i="36" s="1"/>
  <c r="P111" i="36"/>
  <c r="P112" i="36"/>
  <c r="P113" i="36"/>
  <c r="P114" i="36"/>
  <c r="O114" i="36" s="1"/>
  <c r="P115" i="36"/>
  <c r="P116" i="36"/>
  <c r="O116" i="36" s="1"/>
  <c r="P117" i="36"/>
  <c r="P118" i="36"/>
  <c r="O118" i="36" s="1"/>
  <c r="P120" i="36"/>
  <c r="O120" i="36" s="1"/>
  <c r="P121" i="36"/>
  <c r="P122" i="36"/>
  <c r="O122" i="36" s="1"/>
  <c r="P123" i="36"/>
  <c r="P124" i="36"/>
  <c r="O124" i="36" s="1"/>
  <c r="P125" i="36"/>
  <c r="P126" i="36"/>
  <c r="O126" i="36" s="1"/>
  <c r="P127" i="36"/>
  <c r="O127" i="36" s="1"/>
  <c r="P128" i="36"/>
  <c r="O128" i="36" s="1"/>
  <c r="P129" i="36"/>
  <c r="P130" i="36"/>
  <c r="P131" i="36"/>
  <c r="O131" i="36" s="1"/>
  <c r="P132" i="36"/>
  <c r="O132" i="36" s="1"/>
  <c r="P133" i="36"/>
  <c r="P134" i="36"/>
  <c r="O134" i="36" s="1"/>
  <c r="P135" i="36"/>
  <c r="P136" i="36"/>
  <c r="P137" i="36"/>
  <c r="P138" i="36"/>
  <c r="P139" i="36"/>
  <c r="O139" i="36" s="1"/>
  <c r="P140" i="36"/>
  <c r="O140" i="36" s="1"/>
  <c r="P141" i="36"/>
  <c r="P142" i="36"/>
  <c r="O142" i="36" s="1"/>
  <c r="P143" i="36"/>
  <c r="O143" i="36" s="1"/>
  <c r="P145" i="36"/>
  <c r="P146" i="36"/>
  <c r="O146" i="36" s="1"/>
  <c r="P147" i="36"/>
  <c r="O147" i="36" s="1"/>
  <c r="P148" i="36"/>
  <c r="P149" i="36"/>
  <c r="P150" i="36"/>
  <c r="O150" i="36" s="1"/>
  <c r="P151" i="36"/>
  <c r="P153" i="36"/>
  <c r="P154" i="36"/>
  <c r="P155" i="36"/>
  <c r="P156" i="36"/>
  <c r="L160" i="36"/>
  <c r="I160" i="36"/>
  <c r="H160" i="36"/>
  <c r="G160" i="36"/>
  <c r="R156" i="36"/>
  <c r="O156" i="36"/>
  <c r="M156" i="36"/>
  <c r="K156" i="36"/>
  <c r="J156" i="36" s="1"/>
  <c r="X155" i="36"/>
  <c r="M155" i="36"/>
  <c r="L155" i="36"/>
  <c r="K155" i="36" s="1"/>
  <c r="Y155" i="36" s="1"/>
  <c r="F155" i="36"/>
  <c r="B155" i="36"/>
  <c r="M154" i="36"/>
  <c r="K154" i="36"/>
  <c r="I154" i="36"/>
  <c r="H154" i="36" s="1"/>
  <c r="F154" i="36"/>
  <c r="R153" i="36"/>
  <c r="Q153" i="36" s="1"/>
  <c r="Q152" i="36" s="1"/>
  <c r="O153" i="36"/>
  <c r="K153" i="36"/>
  <c r="Y153" i="36" s="1"/>
  <c r="F153" i="36"/>
  <c r="S152" i="36"/>
  <c r="P152" i="36" s="1"/>
  <c r="N152" i="36"/>
  <c r="L152" i="36"/>
  <c r="B152" i="36"/>
  <c r="M151" i="36"/>
  <c r="K151" i="36"/>
  <c r="J151" i="36" s="1"/>
  <c r="I151" i="36"/>
  <c r="H151" i="36" s="1"/>
  <c r="F151" i="36"/>
  <c r="R150" i="36"/>
  <c r="Q150" i="36" s="1"/>
  <c r="M150" i="36"/>
  <c r="K150" i="36"/>
  <c r="Y150" i="36" s="1"/>
  <c r="I150" i="36"/>
  <c r="F150" i="36"/>
  <c r="Y149" i="36"/>
  <c r="R149" i="36"/>
  <c r="Q149" i="36" s="1"/>
  <c r="O149" i="36"/>
  <c r="K149" i="36"/>
  <c r="J149" i="36" s="1"/>
  <c r="X149" i="36" s="1"/>
  <c r="I149" i="36"/>
  <c r="H149" i="36" s="1"/>
  <c r="F149" i="36"/>
  <c r="R148" i="36"/>
  <c r="Q148" i="36" s="1"/>
  <c r="O148" i="36"/>
  <c r="M148" i="36"/>
  <c r="K148" i="36"/>
  <c r="J148" i="36" s="1"/>
  <c r="I148" i="36"/>
  <c r="H148" i="36" s="1"/>
  <c r="F148" i="36"/>
  <c r="M147" i="36"/>
  <c r="R147" i="36"/>
  <c r="Q147" i="36" s="1"/>
  <c r="K147" i="36"/>
  <c r="J147" i="36" s="1"/>
  <c r="I147" i="36"/>
  <c r="R146" i="36"/>
  <c r="Q146" i="36" s="1"/>
  <c r="M146" i="36"/>
  <c r="K146" i="36"/>
  <c r="Y146" i="36" s="1"/>
  <c r="I146" i="36"/>
  <c r="H146" i="36"/>
  <c r="F146" i="36"/>
  <c r="Y145" i="36"/>
  <c r="R145" i="36"/>
  <c r="Q145" i="36"/>
  <c r="O145" i="36"/>
  <c r="M145" i="36"/>
  <c r="K145" i="36"/>
  <c r="J145" i="36"/>
  <c r="X145" i="36" s="1"/>
  <c r="I145" i="36"/>
  <c r="H145" i="36" s="1"/>
  <c r="S144" i="36"/>
  <c r="P144" i="36" s="1"/>
  <c r="O144" i="36" s="1"/>
  <c r="N144" i="36"/>
  <c r="L144" i="36"/>
  <c r="K144" i="36" s="1"/>
  <c r="B144" i="36"/>
  <c r="Y143" i="36"/>
  <c r="R143" i="36"/>
  <c r="Q143" i="36" s="1"/>
  <c r="K143" i="36"/>
  <c r="J143" i="36"/>
  <c r="X143" i="36" s="1"/>
  <c r="I143" i="36"/>
  <c r="H143" i="36" s="1"/>
  <c r="R142" i="36"/>
  <c r="Q142" i="36" s="1"/>
  <c r="K142" i="36"/>
  <c r="Y142" i="36" s="1"/>
  <c r="J142" i="36"/>
  <c r="X142" i="36" s="1"/>
  <c r="I142" i="36"/>
  <c r="H142" i="36" s="1"/>
  <c r="F142" i="36"/>
  <c r="R141" i="36"/>
  <c r="Q141" i="36" s="1"/>
  <c r="O141" i="36"/>
  <c r="M141" i="36"/>
  <c r="K141" i="36"/>
  <c r="J141" i="36" s="1"/>
  <c r="I141" i="36"/>
  <c r="I138" i="36" s="1"/>
  <c r="F141" i="36"/>
  <c r="R140" i="36"/>
  <c r="Q140" i="36" s="1"/>
  <c r="M140" i="36"/>
  <c r="K140" i="36"/>
  <c r="J140" i="36" s="1"/>
  <c r="X140" i="36" s="1"/>
  <c r="I140" i="36"/>
  <c r="H140" i="36" s="1"/>
  <c r="R139" i="36"/>
  <c r="Q139" i="36"/>
  <c r="Q138" i="36" s="1"/>
  <c r="K139" i="36"/>
  <c r="Y139" i="36" s="1"/>
  <c r="I139" i="36"/>
  <c r="H139" i="36" s="1"/>
  <c r="F139" i="36"/>
  <c r="B139" i="36"/>
  <c r="B138" i="36" s="1"/>
  <c r="S138" i="36"/>
  <c r="R138" i="36" s="1"/>
  <c r="N138" i="36"/>
  <c r="L138" i="36"/>
  <c r="Q137" i="36"/>
  <c r="M137" i="36"/>
  <c r="K137" i="36"/>
  <c r="I137" i="36"/>
  <c r="H137" i="36" s="1"/>
  <c r="Y136" i="36"/>
  <c r="X136" i="36"/>
  <c r="Q136" i="36"/>
  <c r="I136" i="36"/>
  <c r="H136" i="36" s="1"/>
  <c r="Q135" i="36"/>
  <c r="X135" i="36" s="1"/>
  <c r="M135" i="36"/>
  <c r="V135" i="36" s="1"/>
  <c r="K135" i="36"/>
  <c r="Y135" i="36" s="1"/>
  <c r="I135" i="36"/>
  <c r="H135" i="36" s="1"/>
  <c r="R134" i="36"/>
  <c r="Q134" i="36" s="1"/>
  <c r="K134" i="36"/>
  <c r="Y134" i="36" s="1"/>
  <c r="I134" i="36"/>
  <c r="H134" i="36" s="1"/>
  <c r="F134" i="36"/>
  <c r="Y133" i="36"/>
  <c r="R133" i="36"/>
  <c r="Q133" i="36" s="1"/>
  <c r="O133" i="36"/>
  <c r="M133" i="36"/>
  <c r="K133" i="36"/>
  <c r="J133" i="36" s="1"/>
  <c r="I133" i="36"/>
  <c r="H133" i="36" s="1"/>
  <c r="R132" i="36"/>
  <c r="Q132" i="36" s="1"/>
  <c r="M132" i="36"/>
  <c r="K132" i="36"/>
  <c r="J132" i="36"/>
  <c r="I132" i="36"/>
  <c r="R131" i="36"/>
  <c r="Q131" i="36"/>
  <c r="M131" i="36"/>
  <c r="K131" i="36"/>
  <c r="J131" i="36" s="1"/>
  <c r="I131" i="36"/>
  <c r="H131" i="36"/>
  <c r="S130" i="36"/>
  <c r="N130" i="36"/>
  <c r="L130" i="36"/>
  <c r="B130" i="36"/>
  <c r="M129" i="36"/>
  <c r="K129" i="36"/>
  <c r="I129" i="36"/>
  <c r="H129" i="36" s="1"/>
  <c r="X128" i="36"/>
  <c r="R128" i="36"/>
  <c r="M128" i="36"/>
  <c r="K128" i="36"/>
  <c r="I128" i="36"/>
  <c r="H128" i="36" s="1"/>
  <c r="F128" i="36"/>
  <c r="R127" i="36"/>
  <c r="Q127" i="36"/>
  <c r="M127" i="36"/>
  <c r="K127" i="36"/>
  <c r="Y127" i="36" s="1"/>
  <c r="I127" i="36"/>
  <c r="H127" i="36"/>
  <c r="F127" i="36"/>
  <c r="R126" i="36"/>
  <c r="Q126" i="36" s="1"/>
  <c r="M126" i="36"/>
  <c r="K126" i="36"/>
  <c r="J126" i="36" s="1"/>
  <c r="I126" i="36"/>
  <c r="H126" i="36" s="1"/>
  <c r="F126" i="36"/>
  <c r="R125" i="36"/>
  <c r="Q125" i="36" s="1"/>
  <c r="O125" i="36"/>
  <c r="M125" i="36"/>
  <c r="K125" i="36"/>
  <c r="Y125" i="36" s="1"/>
  <c r="I125" i="36"/>
  <c r="H125" i="36" s="1"/>
  <c r="R124" i="36"/>
  <c r="Q124" i="36" s="1"/>
  <c r="M124" i="36"/>
  <c r="K124" i="36"/>
  <c r="J124" i="36" s="1"/>
  <c r="I124" i="36"/>
  <c r="H124" i="36"/>
  <c r="R123" i="36"/>
  <c r="Q123" i="36" s="1"/>
  <c r="O123" i="36"/>
  <c r="M123" i="36"/>
  <c r="K123" i="36"/>
  <c r="Y123" i="36" s="1"/>
  <c r="I123" i="36"/>
  <c r="H123" i="36"/>
  <c r="R122" i="36"/>
  <c r="Q122" i="36"/>
  <c r="M122" i="36"/>
  <c r="K122" i="36"/>
  <c r="Y122" i="36" s="1"/>
  <c r="J122" i="36"/>
  <c r="I122" i="36"/>
  <c r="H122" i="36" s="1"/>
  <c r="R121" i="36"/>
  <c r="Q121" i="36"/>
  <c r="O121" i="36"/>
  <c r="M121" i="36"/>
  <c r="K121" i="36"/>
  <c r="J121" i="36" s="1"/>
  <c r="X121" i="36" s="1"/>
  <c r="I121" i="36"/>
  <c r="H121" i="36"/>
  <c r="R120" i="36"/>
  <c r="Q120" i="36" s="1"/>
  <c r="M120" i="36"/>
  <c r="K120" i="36"/>
  <c r="J120" i="36" s="1"/>
  <c r="X120" i="36" s="1"/>
  <c r="I120" i="36"/>
  <c r="H120" i="36" s="1"/>
  <c r="T119" i="36"/>
  <c r="M119" i="36" s="1"/>
  <c r="S119" i="36"/>
  <c r="R119" i="36" s="1"/>
  <c r="L119" i="36"/>
  <c r="G119" i="36" s="1"/>
  <c r="F119" i="36" s="1"/>
  <c r="B119" i="36"/>
  <c r="X118" i="36"/>
  <c r="R118" i="36"/>
  <c r="M118" i="36"/>
  <c r="K118" i="36"/>
  <c r="I118" i="36"/>
  <c r="H118" i="36" s="1"/>
  <c r="F118" i="36"/>
  <c r="X117" i="36"/>
  <c r="M117" i="36"/>
  <c r="V117" i="36" s="1"/>
  <c r="K117" i="36"/>
  <c r="Y117" i="36" s="1"/>
  <c r="I117" i="36"/>
  <c r="H117" i="36"/>
  <c r="F117" i="36"/>
  <c r="W117" i="36" s="1"/>
  <c r="X116" i="36"/>
  <c r="R116" i="36"/>
  <c r="M116" i="36"/>
  <c r="K116" i="36"/>
  <c r="Y116" i="36" s="1"/>
  <c r="I116" i="36"/>
  <c r="H116" i="36"/>
  <c r="I115" i="36"/>
  <c r="H115" i="36"/>
  <c r="X114" i="36"/>
  <c r="R114" i="36"/>
  <c r="M114" i="36"/>
  <c r="K114" i="36"/>
  <c r="Y114" i="36" s="1"/>
  <c r="I114" i="36"/>
  <c r="H114" i="36" s="1"/>
  <c r="F114" i="36"/>
  <c r="R113" i="36"/>
  <c r="Q113" i="36" s="1"/>
  <c r="O113" i="36"/>
  <c r="M113" i="36"/>
  <c r="K113" i="36"/>
  <c r="J113" i="36" s="1"/>
  <c r="I113" i="36"/>
  <c r="R112" i="36"/>
  <c r="Q112" i="36"/>
  <c r="O112" i="36"/>
  <c r="M112" i="36"/>
  <c r="K112" i="36"/>
  <c r="Y112" i="36" s="1"/>
  <c r="J112" i="36"/>
  <c r="X112" i="36" s="1"/>
  <c r="I112" i="36"/>
  <c r="H112" i="36" s="1"/>
  <c r="F112" i="36"/>
  <c r="R111" i="36"/>
  <c r="Q111" i="36" s="1"/>
  <c r="O111" i="36"/>
  <c r="M111" i="36"/>
  <c r="K111" i="36"/>
  <c r="J111" i="36" s="1"/>
  <c r="I111" i="36"/>
  <c r="H111" i="36"/>
  <c r="R110" i="36"/>
  <c r="Q110" i="36"/>
  <c r="M110" i="36"/>
  <c r="K110" i="36"/>
  <c r="Y110" i="36" s="1"/>
  <c r="J110" i="36"/>
  <c r="I110" i="36"/>
  <c r="H110" i="36" s="1"/>
  <c r="F110" i="36"/>
  <c r="R109" i="36"/>
  <c r="Q109" i="36" s="1"/>
  <c r="O109" i="36"/>
  <c r="M109" i="36"/>
  <c r="K109" i="36"/>
  <c r="J109" i="36" s="1"/>
  <c r="X109" i="36" s="1"/>
  <c r="I109" i="36"/>
  <c r="H109" i="36"/>
  <c r="R108" i="36"/>
  <c r="Q108" i="36"/>
  <c r="M108" i="36"/>
  <c r="K108" i="36"/>
  <c r="Y108" i="36" s="1"/>
  <c r="I108" i="36"/>
  <c r="H108" i="36"/>
  <c r="R107" i="36"/>
  <c r="Q107" i="36" s="1"/>
  <c r="M107" i="36"/>
  <c r="K107" i="36"/>
  <c r="J107" i="36"/>
  <c r="I107" i="36"/>
  <c r="H107" i="36" s="1"/>
  <c r="F107" i="36"/>
  <c r="R106" i="36"/>
  <c r="Q106" i="36"/>
  <c r="M106" i="36"/>
  <c r="K106" i="36"/>
  <c r="Y106" i="36" s="1"/>
  <c r="J106" i="36"/>
  <c r="X106" i="36" s="1"/>
  <c r="I106" i="36"/>
  <c r="H106" i="36"/>
  <c r="F106" i="36"/>
  <c r="T105" i="36"/>
  <c r="S105" i="36"/>
  <c r="R105" i="36"/>
  <c r="N105" i="36"/>
  <c r="M105" i="36"/>
  <c r="L105" i="36"/>
  <c r="G105" i="36" s="1"/>
  <c r="F105" i="36" s="1"/>
  <c r="K105" i="36"/>
  <c r="B105" i="36"/>
  <c r="T104" i="36"/>
  <c r="M104" i="36" s="1"/>
  <c r="S104" i="36"/>
  <c r="N104" i="36"/>
  <c r="B104" i="36"/>
  <c r="M103" i="36"/>
  <c r="K103" i="36"/>
  <c r="I103" i="36"/>
  <c r="H103" i="36"/>
  <c r="R102" i="36"/>
  <c r="Q102" i="36" s="1"/>
  <c r="M102" i="36"/>
  <c r="K102" i="36"/>
  <c r="J102" i="36" s="1"/>
  <c r="X102" i="36" s="1"/>
  <c r="I102" i="36"/>
  <c r="H102" i="36" s="1"/>
  <c r="F102" i="36"/>
  <c r="Y101" i="36"/>
  <c r="R101" i="36"/>
  <c r="Q101" i="36" s="1"/>
  <c r="O101" i="36"/>
  <c r="M101" i="36"/>
  <c r="K101" i="36"/>
  <c r="J101" i="36"/>
  <c r="I101" i="36"/>
  <c r="H101" i="36" s="1"/>
  <c r="R100" i="36"/>
  <c r="Q100" i="36" s="1"/>
  <c r="M100" i="36"/>
  <c r="K100" i="36"/>
  <c r="J100" i="36" s="1"/>
  <c r="I100" i="36"/>
  <c r="H100" i="36" s="1"/>
  <c r="F100" i="36"/>
  <c r="R99" i="36"/>
  <c r="Q99" i="36" s="1"/>
  <c r="M99" i="36"/>
  <c r="K99" i="36"/>
  <c r="Y99" i="36" s="1"/>
  <c r="J99" i="36"/>
  <c r="I99" i="36"/>
  <c r="H99" i="36" s="1"/>
  <c r="T98" i="36"/>
  <c r="M98" i="36" s="1"/>
  <c r="S98" i="36"/>
  <c r="R98" i="36" s="1"/>
  <c r="L98" i="36"/>
  <c r="G98" i="36" s="1"/>
  <c r="K98" i="36"/>
  <c r="F98" i="36"/>
  <c r="E98" i="36"/>
  <c r="B98" i="36"/>
  <c r="X97" i="36"/>
  <c r="R97" i="36"/>
  <c r="O97" i="36"/>
  <c r="M97" i="36"/>
  <c r="K97" i="36"/>
  <c r="I97" i="36"/>
  <c r="H97" i="36" s="1"/>
  <c r="X96" i="36"/>
  <c r="R96" i="36"/>
  <c r="O96" i="36"/>
  <c r="M96" i="36"/>
  <c r="K96" i="36"/>
  <c r="Y96" i="36" s="1"/>
  <c r="I96" i="36"/>
  <c r="H96" i="36" s="1"/>
  <c r="X95" i="36"/>
  <c r="R95" i="36"/>
  <c r="O95" i="36"/>
  <c r="M95" i="36"/>
  <c r="K95" i="36"/>
  <c r="I95" i="36"/>
  <c r="H95" i="36" s="1"/>
  <c r="X94" i="36"/>
  <c r="R94" i="36"/>
  <c r="O94" i="36"/>
  <c r="M94" i="36"/>
  <c r="K94" i="36"/>
  <c r="I94" i="36"/>
  <c r="H94" i="36" s="1"/>
  <c r="F94" i="36"/>
  <c r="X93" i="36"/>
  <c r="R93" i="36"/>
  <c r="O93" i="36"/>
  <c r="M93" i="36"/>
  <c r="K93" i="36"/>
  <c r="Y93" i="36" s="1"/>
  <c r="I93" i="36"/>
  <c r="H93" i="36" s="1"/>
  <c r="X92" i="36"/>
  <c r="R92" i="36"/>
  <c r="O92" i="36"/>
  <c r="M92" i="36"/>
  <c r="K92" i="36"/>
  <c r="I92" i="36"/>
  <c r="H92" i="36" s="1"/>
  <c r="X91" i="36"/>
  <c r="R91" i="36"/>
  <c r="O91" i="36"/>
  <c r="M91" i="36"/>
  <c r="K91" i="36"/>
  <c r="Y91" i="36" s="1"/>
  <c r="I91" i="36"/>
  <c r="H91" i="36" s="1"/>
  <c r="R90" i="36"/>
  <c r="Q90" i="36" s="1"/>
  <c r="M90" i="36"/>
  <c r="K90" i="36"/>
  <c r="Y90" i="36" s="1"/>
  <c r="I90" i="36"/>
  <c r="H90" i="36" s="1"/>
  <c r="F90" i="36"/>
  <c r="R89" i="36"/>
  <c r="Q89" i="36" s="1"/>
  <c r="O89" i="36"/>
  <c r="M89" i="36"/>
  <c r="K89" i="36"/>
  <c r="J89" i="36"/>
  <c r="I89" i="36"/>
  <c r="H89" i="36" s="1"/>
  <c r="F89" i="36"/>
  <c r="W89" i="36" s="1"/>
  <c r="R88" i="36"/>
  <c r="Q88" i="36" s="1"/>
  <c r="O88" i="36"/>
  <c r="M88" i="36"/>
  <c r="K88" i="36"/>
  <c r="I88" i="36"/>
  <c r="H88" i="36"/>
  <c r="R87" i="36"/>
  <c r="Q87" i="36" s="1"/>
  <c r="M87" i="36"/>
  <c r="K87" i="36"/>
  <c r="J87" i="36"/>
  <c r="X87" i="36" s="1"/>
  <c r="I87" i="36"/>
  <c r="H87" i="36" s="1"/>
  <c r="R86" i="36"/>
  <c r="Q86" i="36"/>
  <c r="M86" i="36"/>
  <c r="K86" i="36"/>
  <c r="Y86" i="36" s="1"/>
  <c r="I86" i="36"/>
  <c r="H86" i="36" s="1"/>
  <c r="F86" i="36"/>
  <c r="R85" i="36"/>
  <c r="Q85" i="36" s="1"/>
  <c r="O85" i="36"/>
  <c r="M85" i="36"/>
  <c r="K85" i="36"/>
  <c r="J85" i="36"/>
  <c r="I85" i="36"/>
  <c r="H85" i="36" s="1"/>
  <c r="R84" i="36"/>
  <c r="Q84" i="36"/>
  <c r="M84" i="36"/>
  <c r="K84" i="36"/>
  <c r="J84" i="36"/>
  <c r="I84" i="36"/>
  <c r="H84" i="36" s="1"/>
  <c r="R83" i="36"/>
  <c r="Q83" i="36" s="1"/>
  <c r="M83" i="36"/>
  <c r="K83" i="36"/>
  <c r="J83" i="36" s="1"/>
  <c r="I83" i="36"/>
  <c r="H83" i="36" s="1"/>
  <c r="T82" i="36"/>
  <c r="M82" i="36" s="1"/>
  <c r="S82" i="36"/>
  <c r="R82" i="36"/>
  <c r="N82" i="36"/>
  <c r="L82" i="36"/>
  <c r="K82" i="36" s="1"/>
  <c r="Y82" i="36" s="1"/>
  <c r="E82" i="36"/>
  <c r="B82" i="36"/>
  <c r="R81" i="36"/>
  <c r="Q81" i="36" s="1"/>
  <c r="O81" i="36"/>
  <c r="M81" i="36"/>
  <c r="K81" i="36"/>
  <c r="Y81" i="36" s="1"/>
  <c r="I81" i="36"/>
  <c r="H81" i="36" s="1"/>
  <c r="R80" i="36"/>
  <c r="Q80" i="36" s="1"/>
  <c r="O80" i="36"/>
  <c r="M80" i="36"/>
  <c r="K80" i="36"/>
  <c r="J80" i="36" s="1"/>
  <c r="X80" i="36" s="1"/>
  <c r="I80" i="36"/>
  <c r="H80" i="36" s="1"/>
  <c r="R79" i="36"/>
  <c r="Q79" i="36" s="1"/>
  <c r="O79" i="36"/>
  <c r="K79" i="36"/>
  <c r="Y79" i="36" s="1"/>
  <c r="I79" i="36"/>
  <c r="H79" i="36" s="1"/>
  <c r="Y78" i="36"/>
  <c r="R78" i="36"/>
  <c r="Q78" i="36" s="1"/>
  <c r="M78" i="36"/>
  <c r="K78" i="36"/>
  <c r="J78" i="36" s="1"/>
  <c r="I78" i="36"/>
  <c r="H78" i="36" s="1"/>
  <c r="S77" i="36"/>
  <c r="N77" i="36"/>
  <c r="L77" i="36"/>
  <c r="G77" i="36" s="1"/>
  <c r="F77" i="36"/>
  <c r="E77" i="36"/>
  <c r="B77" i="36"/>
  <c r="X76" i="36"/>
  <c r="R76" i="36"/>
  <c r="O76" i="36"/>
  <c r="M76" i="36"/>
  <c r="K76" i="36"/>
  <c r="I76" i="36"/>
  <c r="H76" i="36" s="1"/>
  <c r="X75" i="36"/>
  <c r="R75" i="36"/>
  <c r="O75" i="36"/>
  <c r="M75" i="36"/>
  <c r="K75" i="36"/>
  <c r="Y75" i="36" s="1"/>
  <c r="I75" i="36"/>
  <c r="H75" i="36" s="1"/>
  <c r="R74" i="36"/>
  <c r="Q74" i="36" s="1"/>
  <c r="M74" i="36"/>
  <c r="K74" i="36"/>
  <c r="I74" i="36"/>
  <c r="H74" i="36" s="1"/>
  <c r="F74" i="36"/>
  <c r="T73" i="36"/>
  <c r="M73" i="36" s="1"/>
  <c r="S73" i="36"/>
  <c r="R73" i="36" s="1"/>
  <c r="N73" i="36"/>
  <c r="L73" i="36"/>
  <c r="E73" i="36"/>
  <c r="B73" i="36"/>
  <c r="R72" i="36"/>
  <c r="M72" i="36"/>
  <c r="K72" i="36"/>
  <c r="Y72" i="36" s="1"/>
  <c r="I72" i="36"/>
  <c r="H72" i="36"/>
  <c r="R71" i="36"/>
  <c r="M71" i="36"/>
  <c r="K71" i="36"/>
  <c r="J71" i="36" s="1"/>
  <c r="X71" i="36" s="1"/>
  <c r="I71" i="36"/>
  <c r="H71" i="36" s="1"/>
  <c r="R70" i="36"/>
  <c r="O70" i="36"/>
  <c r="M70" i="36"/>
  <c r="K70" i="36"/>
  <c r="Y70" i="36" s="1"/>
  <c r="I70" i="36"/>
  <c r="H70" i="36" s="1"/>
  <c r="F70" i="36"/>
  <c r="R69" i="36"/>
  <c r="O69" i="36"/>
  <c r="M69" i="36"/>
  <c r="K69" i="36"/>
  <c r="Y69" i="36" s="1"/>
  <c r="I69" i="36"/>
  <c r="H69" i="36" s="1"/>
  <c r="Y68" i="36"/>
  <c r="R68" i="36"/>
  <c r="M68" i="36"/>
  <c r="K68" i="36"/>
  <c r="J68" i="36"/>
  <c r="X68" i="36" s="1"/>
  <c r="I68" i="36"/>
  <c r="H68" i="36" s="1"/>
  <c r="R67" i="36"/>
  <c r="M67" i="36"/>
  <c r="K67" i="36"/>
  <c r="J67" i="36" s="1"/>
  <c r="I67" i="36"/>
  <c r="H67" i="36" s="1"/>
  <c r="R66" i="36"/>
  <c r="M66" i="36"/>
  <c r="K66" i="36"/>
  <c r="J66" i="36" s="1"/>
  <c r="X66" i="36" s="1"/>
  <c r="I66" i="36"/>
  <c r="H66" i="36" s="1"/>
  <c r="F66" i="36"/>
  <c r="W66" i="36" s="1"/>
  <c r="T65" i="36"/>
  <c r="M65" i="36" s="1"/>
  <c r="S65" i="36"/>
  <c r="P65" i="36" s="1"/>
  <c r="O65" i="36" s="1"/>
  <c r="Q65" i="36"/>
  <c r="N65" i="36"/>
  <c r="L65" i="36"/>
  <c r="K65" i="36" s="1"/>
  <c r="I65" i="36"/>
  <c r="H65" i="36" s="1"/>
  <c r="E65" i="36"/>
  <c r="B65" i="36"/>
  <c r="R64" i="36"/>
  <c r="M64" i="36"/>
  <c r="K64" i="36"/>
  <c r="I64" i="36"/>
  <c r="H64" i="36" s="1"/>
  <c r="F64" i="36"/>
  <c r="R63" i="36"/>
  <c r="O63" i="36"/>
  <c r="M63" i="36"/>
  <c r="K63" i="36"/>
  <c r="Y63" i="36" s="1"/>
  <c r="J63" i="36"/>
  <c r="X63" i="36" s="1"/>
  <c r="I63" i="36"/>
  <c r="H63" i="36"/>
  <c r="R62" i="36"/>
  <c r="Y62" i="36" s="1"/>
  <c r="M62" i="36"/>
  <c r="J62" i="36"/>
  <c r="X62" i="36" s="1"/>
  <c r="I62" i="36"/>
  <c r="H62" i="36" s="1"/>
  <c r="F62" i="36"/>
  <c r="W62" i="36" s="1"/>
  <c r="R61" i="36"/>
  <c r="Q61" i="36" s="1"/>
  <c r="O61" i="36"/>
  <c r="M61" i="36"/>
  <c r="K61" i="36"/>
  <c r="I61" i="36"/>
  <c r="H61" i="36" s="1"/>
  <c r="F61" i="36"/>
  <c r="R60" i="36"/>
  <c r="Q60" i="36"/>
  <c r="Q59" i="36" s="1"/>
  <c r="O60" i="36"/>
  <c r="M60" i="36"/>
  <c r="K60" i="36"/>
  <c r="Y60" i="36" s="1"/>
  <c r="I60" i="36"/>
  <c r="H60" i="36" s="1"/>
  <c r="S59" i="36"/>
  <c r="P59" i="36" s="1"/>
  <c r="O59" i="36" s="1"/>
  <c r="R59" i="36"/>
  <c r="N59" i="36"/>
  <c r="M59" i="36"/>
  <c r="L59" i="36"/>
  <c r="K59" i="36" s="1"/>
  <c r="Y59" i="36" s="1"/>
  <c r="B59" i="36"/>
  <c r="X58" i="36"/>
  <c r="R58" i="36"/>
  <c r="O58" i="36"/>
  <c r="M58" i="36"/>
  <c r="K58" i="36"/>
  <c r="Y58" i="36" s="1"/>
  <c r="I58" i="36"/>
  <c r="H58" i="36"/>
  <c r="R57" i="36"/>
  <c r="Q57" i="36" s="1"/>
  <c r="O57" i="36"/>
  <c r="M57" i="36"/>
  <c r="K57" i="36"/>
  <c r="I57" i="36"/>
  <c r="H57" i="36" s="1"/>
  <c r="R56" i="36"/>
  <c r="Y56" i="36" s="1"/>
  <c r="O56" i="36"/>
  <c r="M56" i="36"/>
  <c r="K56" i="36"/>
  <c r="J56" i="36"/>
  <c r="I56" i="36"/>
  <c r="H56" i="36"/>
  <c r="R55" i="36"/>
  <c r="Q55" i="36" s="1"/>
  <c r="M55" i="36"/>
  <c r="K55" i="36"/>
  <c r="Y55" i="36" s="1"/>
  <c r="J55" i="36"/>
  <c r="I55" i="36"/>
  <c r="H55" i="36"/>
  <c r="R54" i="36"/>
  <c r="M54" i="36"/>
  <c r="K54" i="36"/>
  <c r="I54" i="36"/>
  <c r="H54" i="36" s="1"/>
  <c r="F54" i="36"/>
  <c r="T53" i="36"/>
  <c r="M53" i="36" s="1"/>
  <c r="S53" i="36"/>
  <c r="P53" i="36" s="1"/>
  <c r="O53" i="36" s="1"/>
  <c r="R53" i="36"/>
  <c r="N53" i="36"/>
  <c r="L53" i="36"/>
  <c r="K53" i="36" s="1"/>
  <c r="B53" i="36"/>
  <c r="R52" i="36"/>
  <c r="O52" i="36"/>
  <c r="M52" i="36"/>
  <c r="K52" i="36"/>
  <c r="J52" i="36" s="1"/>
  <c r="X52" i="36" s="1"/>
  <c r="I52" i="36"/>
  <c r="H52" i="36" s="1"/>
  <c r="R51" i="36"/>
  <c r="O51" i="36"/>
  <c r="M51" i="36"/>
  <c r="K51" i="36"/>
  <c r="J51" i="36" s="1"/>
  <c r="X51" i="36" s="1"/>
  <c r="I51" i="36"/>
  <c r="H51" i="36" s="1"/>
  <c r="F51" i="36"/>
  <c r="R50" i="36"/>
  <c r="Q50" i="36"/>
  <c r="N50" i="36"/>
  <c r="N41" i="36" s="1"/>
  <c r="K50" i="36"/>
  <c r="Y50" i="36" s="1"/>
  <c r="J50" i="36"/>
  <c r="I50" i="36"/>
  <c r="H50" i="36"/>
  <c r="Q49" i="36"/>
  <c r="J49" i="36"/>
  <c r="I49" i="36"/>
  <c r="H49" i="36" s="1"/>
  <c r="R48" i="36"/>
  <c r="Q48" i="36" s="1"/>
  <c r="O48" i="36"/>
  <c r="M48" i="36"/>
  <c r="K48" i="36"/>
  <c r="J48" i="36"/>
  <c r="I48" i="36"/>
  <c r="H48" i="36"/>
  <c r="R47" i="36"/>
  <c r="Q47" i="36" s="1"/>
  <c r="M47" i="36"/>
  <c r="K47" i="36"/>
  <c r="Y47" i="36" s="1"/>
  <c r="I47" i="36"/>
  <c r="H47" i="36" s="1"/>
  <c r="R46" i="36"/>
  <c r="Q46" i="36" s="1"/>
  <c r="O46" i="36"/>
  <c r="M46" i="36"/>
  <c r="K46" i="36"/>
  <c r="I46" i="36"/>
  <c r="H46" i="36" s="1"/>
  <c r="F46" i="36"/>
  <c r="W46" i="36" s="1"/>
  <c r="R45" i="36"/>
  <c r="Q45" i="36"/>
  <c r="O45" i="36"/>
  <c r="M45" i="36"/>
  <c r="K45" i="36"/>
  <c r="I45" i="36"/>
  <c r="H45" i="36" s="1"/>
  <c r="R44" i="36"/>
  <c r="Y44" i="36" s="1"/>
  <c r="O44" i="36"/>
  <c r="K44" i="36"/>
  <c r="J44" i="36"/>
  <c r="I44" i="36"/>
  <c r="H44" i="36" s="1"/>
  <c r="R43" i="36"/>
  <c r="Q43" i="36" s="1"/>
  <c r="M43" i="36"/>
  <c r="K43" i="36"/>
  <c r="I43" i="36"/>
  <c r="H43" i="36" s="1"/>
  <c r="F43" i="36"/>
  <c r="S42" i="36"/>
  <c r="S41" i="36" s="1"/>
  <c r="L42" i="36"/>
  <c r="K42" i="36" s="1"/>
  <c r="B42" i="36"/>
  <c r="B41" i="36" s="1"/>
  <c r="L41" i="36"/>
  <c r="R40" i="36"/>
  <c r="Q40" i="36" s="1"/>
  <c r="O40" i="36"/>
  <c r="M40" i="36"/>
  <c r="K40" i="36"/>
  <c r="I40" i="36"/>
  <c r="H40" i="36"/>
  <c r="F40" i="36"/>
  <c r="R39" i="36"/>
  <c r="M39" i="36"/>
  <c r="K39" i="36"/>
  <c r="J39" i="36"/>
  <c r="I39" i="36"/>
  <c r="H39" i="36"/>
  <c r="F39" i="36"/>
  <c r="R38" i="36"/>
  <c r="Q38" i="36" s="1"/>
  <c r="X38" i="36" s="1"/>
  <c r="O38" i="36"/>
  <c r="M38" i="36"/>
  <c r="K38" i="36"/>
  <c r="J38" i="36"/>
  <c r="I38" i="36"/>
  <c r="H38" i="36"/>
  <c r="R37" i="36"/>
  <c r="Y37" i="36" s="1"/>
  <c r="O37" i="36"/>
  <c r="M37" i="36"/>
  <c r="K37" i="36"/>
  <c r="J37" i="36"/>
  <c r="I37" i="36"/>
  <c r="H37" i="36" s="1"/>
  <c r="R36" i="36"/>
  <c r="Q36" i="36" s="1"/>
  <c r="O36" i="36"/>
  <c r="M36" i="36"/>
  <c r="K36" i="36"/>
  <c r="J36" i="36"/>
  <c r="I36" i="36"/>
  <c r="H36" i="36"/>
  <c r="R35" i="36"/>
  <c r="M35" i="36"/>
  <c r="K35" i="36"/>
  <c r="J35" i="36"/>
  <c r="I35" i="36"/>
  <c r="H35" i="36"/>
  <c r="R34" i="36"/>
  <c r="Q34" i="36" s="1"/>
  <c r="X34" i="36" s="1"/>
  <c r="O34" i="36"/>
  <c r="M34" i="36"/>
  <c r="K34" i="36"/>
  <c r="J34" i="36"/>
  <c r="I34" i="36"/>
  <c r="H34" i="36" s="1"/>
  <c r="F34" i="36"/>
  <c r="R33" i="36"/>
  <c r="Y33" i="36" s="1"/>
  <c r="O33" i="36"/>
  <c r="M33" i="36"/>
  <c r="K33" i="36"/>
  <c r="J33" i="36"/>
  <c r="I33" i="36"/>
  <c r="H33" i="36" s="1"/>
  <c r="F33" i="36"/>
  <c r="R32" i="36"/>
  <c r="Q32" i="36" s="1"/>
  <c r="O32" i="36"/>
  <c r="M32" i="36"/>
  <c r="K32" i="36"/>
  <c r="J32" i="36"/>
  <c r="I32" i="36"/>
  <c r="H32" i="36" s="1"/>
  <c r="R31" i="36"/>
  <c r="Y31" i="36" s="1"/>
  <c r="M31" i="36"/>
  <c r="K31" i="36"/>
  <c r="J31" i="36"/>
  <c r="I31" i="36"/>
  <c r="H31" i="36"/>
  <c r="F31" i="36"/>
  <c r="R30" i="36"/>
  <c r="Q30" i="36" s="1"/>
  <c r="O30" i="36"/>
  <c r="M30" i="36"/>
  <c r="K30" i="36"/>
  <c r="J30" i="36"/>
  <c r="I30" i="36"/>
  <c r="H30" i="36"/>
  <c r="F30" i="36"/>
  <c r="R29" i="36"/>
  <c r="Y29" i="36" s="1"/>
  <c r="O29" i="36"/>
  <c r="M29" i="36"/>
  <c r="K29" i="36"/>
  <c r="J29" i="36"/>
  <c r="I29" i="36"/>
  <c r="H29" i="36"/>
  <c r="F29" i="36"/>
  <c r="R28" i="36"/>
  <c r="Q28" i="36" s="1"/>
  <c r="O28" i="36"/>
  <c r="M28" i="36"/>
  <c r="K28" i="36"/>
  <c r="J28" i="36"/>
  <c r="I28" i="36"/>
  <c r="H28" i="36"/>
  <c r="R27" i="36"/>
  <c r="M27" i="36"/>
  <c r="K27" i="36"/>
  <c r="J27" i="36" s="1"/>
  <c r="I27" i="36"/>
  <c r="H27" i="36"/>
  <c r="H26" i="36" s="1"/>
  <c r="T26" i="36"/>
  <c r="M26" i="36" s="1"/>
  <c r="S26" i="36"/>
  <c r="P26" i="36" s="1"/>
  <c r="O26" i="36" s="1"/>
  <c r="R26" i="36"/>
  <c r="N26" i="36"/>
  <c r="N9" i="36" s="1"/>
  <c r="L26" i="36"/>
  <c r="E26" i="36"/>
  <c r="B26" i="36"/>
  <c r="R25" i="36"/>
  <c r="Q25" i="36" s="1"/>
  <c r="X25" i="36" s="1"/>
  <c r="O25" i="36"/>
  <c r="M25" i="36"/>
  <c r="V25" i="36" s="1"/>
  <c r="K25" i="36"/>
  <c r="Y25" i="36" s="1"/>
  <c r="I25" i="36"/>
  <c r="H25" i="36" s="1"/>
  <c r="R24" i="36"/>
  <c r="Q24" i="36"/>
  <c r="X24" i="36" s="1"/>
  <c r="O24" i="36"/>
  <c r="M24" i="36"/>
  <c r="V24" i="36" s="1"/>
  <c r="K24" i="36"/>
  <c r="Y24" i="36" s="1"/>
  <c r="I24" i="36"/>
  <c r="H24" i="36" s="1"/>
  <c r="F24" i="36"/>
  <c r="V23" i="36"/>
  <c r="R23" i="36"/>
  <c r="Q23" i="36" s="1"/>
  <c r="X23" i="36" s="1"/>
  <c r="M23" i="36"/>
  <c r="K23" i="36"/>
  <c r="I23" i="36"/>
  <c r="H23" i="36" s="1"/>
  <c r="F23" i="36"/>
  <c r="R22" i="36"/>
  <c r="Q22" i="36" s="1"/>
  <c r="X22" i="36" s="1"/>
  <c r="O22" i="36"/>
  <c r="M22" i="36"/>
  <c r="V22" i="36" s="1"/>
  <c r="K22" i="36"/>
  <c r="Y22" i="36" s="1"/>
  <c r="I22" i="36"/>
  <c r="H22" i="36"/>
  <c r="F22" i="36"/>
  <c r="R21" i="36"/>
  <c r="Q21" i="36"/>
  <c r="X21" i="36" s="1"/>
  <c r="O21" i="36"/>
  <c r="M21" i="36"/>
  <c r="V21" i="36" s="1"/>
  <c r="K21" i="36"/>
  <c r="Y21" i="36" s="1"/>
  <c r="I21" i="36"/>
  <c r="H21" i="36"/>
  <c r="V20" i="36"/>
  <c r="R20" i="36"/>
  <c r="O20" i="36"/>
  <c r="M20" i="36"/>
  <c r="K20" i="36"/>
  <c r="I20" i="36"/>
  <c r="H20" i="36" s="1"/>
  <c r="F20" i="36"/>
  <c r="W20" i="36" s="1"/>
  <c r="R19" i="36"/>
  <c r="Q19" i="36" s="1"/>
  <c r="X19" i="36" s="1"/>
  <c r="M19" i="36"/>
  <c r="V19" i="36" s="1"/>
  <c r="K19" i="36"/>
  <c r="Y19" i="36" s="1"/>
  <c r="I19" i="36"/>
  <c r="H19" i="36" s="1"/>
  <c r="F19" i="36"/>
  <c r="R18" i="36"/>
  <c r="Q18" i="36" s="1"/>
  <c r="X18" i="36" s="1"/>
  <c r="O18" i="36"/>
  <c r="M18" i="36"/>
  <c r="V18" i="36" s="1"/>
  <c r="K18" i="36"/>
  <c r="Y18" i="36" s="1"/>
  <c r="I18" i="36"/>
  <c r="H18" i="36" s="1"/>
  <c r="F18" i="36"/>
  <c r="R17" i="36"/>
  <c r="Q17" i="36" s="1"/>
  <c r="X17" i="36" s="1"/>
  <c r="O17" i="36"/>
  <c r="M17" i="36"/>
  <c r="V17" i="36" s="1"/>
  <c r="K17" i="36"/>
  <c r="Y17" i="36" s="1"/>
  <c r="I17" i="36"/>
  <c r="H17" i="36" s="1"/>
  <c r="R16" i="36"/>
  <c r="Q16" i="36" s="1"/>
  <c r="X16" i="36" s="1"/>
  <c r="O16" i="36"/>
  <c r="M16" i="36"/>
  <c r="V16" i="36" s="1"/>
  <c r="K16" i="36"/>
  <c r="Y16" i="36" s="1"/>
  <c r="I16" i="36"/>
  <c r="H16" i="36"/>
  <c r="F16" i="36"/>
  <c r="R15" i="36"/>
  <c r="Q15" i="36" s="1"/>
  <c r="X15" i="36" s="1"/>
  <c r="O15" i="36"/>
  <c r="M15" i="36"/>
  <c r="V15" i="36" s="1"/>
  <c r="K15" i="36"/>
  <c r="I15" i="36"/>
  <c r="H15" i="36"/>
  <c r="F15" i="36"/>
  <c r="R14" i="36"/>
  <c r="Q14" i="36" s="1"/>
  <c r="O14" i="36"/>
  <c r="M14" i="36"/>
  <c r="K14" i="36"/>
  <c r="J14" i="36" s="1"/>
  <c r="I14" i="36"/>
  <c r="H14" i="36" s="1"/>
  <c r="F14" i="36"/>
  <c r="W14" i="36" s="1"/>
  <c r="R13" i="36"/>
  <c r="Q13" i="36"/>
  <c r="O13" i="36"/>
  <c r="M13" i="36"/>
  <c r="K13" i="36"/>
  <c r="I13" i="36"/>
  <c r="H13" i="36" s="1"/>
  <c r="R12" i="36"/>
  <c r="Q12" i="36" s="1"/>
  <c r="O12" i="36"/>
  <c r="M12" i="36"/>
  <c r="K12" i="36"/>
  <c r="J12" i="36" s="1"/>
  <c r="I12" i="36"/>
  <c r="V11" i="36"/>
  <c r="O11" i="36"/>
  <c r="H11" i="36"/>
  <c r="T10" i="36"/>
  <c r="T9" i="36" s="1"/>
  <c r="S10" i="36"/>
  <c r="S9" i="36" s="1"/>
  <c r="P9" i="36" s="1"/>
  <c r="N10" i="36"/>
  <c r="L10" i="36"/>
  <c r="L9" i="36" s="1"/>
  <c r="E10" i="36"/>
  <c r="B10" i="36"/>
  <c r="B9" i="36"/>
  <c r="P41" i="36" l="1"/>
  <c r="O41" i="36" s="1"/>
  <c r="R41" i="36"/>
  <c r="X48" i="36"/>
  <c r="Y12" i="36"/>
  <c r="Y10" i="36" s="1"/>
  <c r="Y9" i="36" s="1"/>
  <c r="Y23" i="36"/>
  <c r="X32" i="36"/>
  <c r="M10" i="36"/>
  <c r="M9" i="36" s="1"/>
  <c r="X14" i="36"/>
  <c r="Y14" i="36"/>
  <c r="Y27" i="36"/>
  <c r="X28" i="36"/>
  <c r="K10" i="36"/>
  <c r="K9" i="36" s="1"/>
  <c r="Y20" i="36"/>
  <c r="K26" i="36"/>
  <c r="Y26" i="36" s="1"/>
  <c r="G26" i="36"/>
  <c r="Y28" i="36"/>
  <c r="W30" i="36"/>
  <c r="Y30" i="36"/>
  <c r="Y35" i="36"/>
  <c r="Y36" i="36"/>
  <c r="Y39" i="36"/>
  <c r="Y40" i="36"/>
  <c r="J40" i="36"/>
  <c r="J45" i="36"/>
  <c r="X45" i="36" s="1"/>
  <c r="Y45" i="36"/>
  <c r="Y66" i="36"/>
  <c r="Y74" i="36"/>
  <c r="O77" i="36"/>
  <c r="W77" i="36" s="1"/>
  <c r="P77" i="36"/>
  <c r="X99" i="36"/>
  <c r="X122" i="36"/>
  <c r="P10" i="36"/>
  <c r="B157" i="36"/>
  <c r="B8" i="36" s="1"/>
  <c r="U19" i="36" s="1"/>
  <c r="D19" i="36" s="1"/>
  <c r="K41" i="36"/>
  <c r="Y41" i="36" s="1"/>
  <c r="G41" i="36"/>
  <c r="Y57" i="36"/>
  <c r="J57" i="36"/>
  <c r="Y88" i="36"/>
  <c r="J88" i="36"/>
  <c r="X88" i="36" s="1"/>
  <c r="I130" i="36"/>
  <c r="H130" i="36" s="1"/>
  <c r="H132" i="36"/>
  <c r="H147" i="36"/>
  <c r="I144" i="36"/>
  <c r="H144" i="36" s="1"/>
  <c r="G59" i="36"/>
  <c r="Y38" i="36"/>
  <c r="Y51" i="36"/>
  <c r="Y61" i="36"/>
  <c r="J61" i="36"/>
  <c r="X85" i="36"/>
  <c r="X110" i="36"/>
  <c r="P98" i="36"/>
  <c r="O98" i="36" s="1"/>
  <c r="W98" i="36" s="1"/>
  <c r="E138" i="36"/>
  <c r="H113" i="36"/>
  <c r="I105" i="36"/>
  <c r="H105" i="36" s="1"/>
  <c r="K119" i="36"/>
  <c r="Y119" i="36" s="1"/>
  <c r="L104" i="36"/>
  <c r="G138" i="36"/>
  <c r="F138" i="36" s="1"/>
  <c r="K138" i="36"/>
  <c r="Y138" i="36" s="1"/>
  <c r="U12" i="36"/>
  <c r="Y15" i="36"/>
  <c r="I26" i="36"/>
  <c r="X30" i="36"/>
  <c r="Y32" i="36"/>
  <c r="W34" i="36"/>
  <c r="Y34" i="36"/>
  <c r="X36" i="36"/>
  <c r="O42" i="36"/>
  <c r="Y46" i="36"/>
  <c r="X50" i="36"/>
  <c r="Y85" i="36"/>
  <c r="X89" i="36"/>
  <c r="Y105" i="36"/>
  <c r="G130" i="36"/>
  <c r="F130" i="36" s="1"/>
  <c r="K130" i="36"/>
  <c r="X133" i="36"/>
  <c r="H138" i="36"/>
  <c r="Y148" i="36"/>
  <c r="Y53" i="36"/>
  <c r="Y54" i="36"/>
  <c r="X57" i="36"/>
  <c r="X61" i="36"/>
  <c r="Q77" i="36"/>
  <c r="Q98" i="36"/>
  <c r="Y120" i="36"/>
  <c r="X126" i="36"/>
  <c r="O130" i="36"/>
  <c r="X148" i="36"/>
  <c r="F152" i="36"/>
  <c r="W147" i="36"/>
  <c r="P119" i="36"/>
  <c r="O119" i="36" s="1"/>
  <c r="G152" i="36"/>
  <c r="G144" i="36"/>
  <c r="F144" i="36" s="1"/>
  <c r="W144" i="36" s="1"/>
  <c r="W88" i="36"/>
  <c r="W60" i="36"/>
  <c r="W56" i="36"/>
  <c r="W48" i="36"/>
  <c r="X40" i="36"/>
  <c r="Y43" i="36"/>
  <c r="Y48" i="36"/>
  <c r="W54" i="36"/>
  <c r="Y65" i="36"/>
  <c r="R65" i="36"/>
  <c r="J70" i="36"/>
  <c r="X70" i="36" s="1"/>
  <c r="I73" i="36"/>
  <c r="H73" i="36" s="1"/>
  <c r="Y76" i="36"/>
  <c r="K77" i="36"/>
  <c r="J81" i="36"/>
  <c r="X81" i="36" s="1"/>
  <c r="X84" i="36"/>
  <c r="Y92" i="36"/>
  <c r="Y95" i="36"/>
  <c r="Y97" i="36"/>
  <c r="Y98" i="36"/>
  <c r="X101" i="36"/>
  <c r="X113" i="36"/>
  <c r="Y118" i="36"/>
  <c r="W126" i="36"/>
  <c r="Y128" i="36"/>
  <c r="X141" i="36"/>
  <c r="R144" i="36"/>
  <c r="Y144" i="36" s="1"/>
  <c r="P105" i="36"/>
  <c r="O105" i="36" s="1"/>
  <c r="W105" i="36" s="1"/>
  <c r="P73" i="36"/>
  <c r="O73" i="36" s="1"/>
  <c r="G82" i="36"/>
  <c r="F82" i="36" s="1"/>
  <c r="W82" i="36" s="1"/>
  <c r="W78" i="36"/>
  <c r="W50" i="36"/>
  <c r="G42" i="36"/>
  <c r="W38" i="36"/>
  <c r="E144" i="36"/>
  <c r="Y64" i="36"/>
  <c r="J72" i="36"/>
  <c r="X72" i="36" s="1"/>
  <c r="Q82" i="36"/>
  <c r="Y84" i="36"/>
  <c r="Y94" i="36"/>
  <c r="R104" i="36"/>
  <c r="X111" i="36"/>
  <c r="J123" i="36"/>
  <c r="X123" i="36" s="1"/>
  <c r="R130" i="36"/>
  <c r="K152" i="36"/>
  <c r="P104" i="36"/>
  <c r="O104" i="36" s="1"/>
  <c r="W133" i="36"/>
  <c r="W109" i="36"/>
  <c r="W81" i="36"/>
  <c r="G73" i="36"/>
  <c r="F73" i="36" s="1"/>
  <c r="W73" i="36" s="1"/>
  <c r="W69" i="36"/>
  <c r="G65" i="36"/>
  <c r="G53" i="36"/>
  <c r="W45" i="36"/>
  <c r="X157" i="41"/>
  <c r="Z157" i="41"/>
  <c r="E130" i="36"/>
  <c r="E9" i="36"/>
  <c r="W44" i="36"/>
  <c r="W75" i="36"/>
  <c r="W94" i="36"/>
  <c r="W76" i="36"/>
  <c r="W91" i="36"/>
  <c r="W95" i="36"/>
  <c r="W128" i="36"/>
  <c r="W92" i="36"/>
  <c r="W96" i="36"/>
  <c r="W93" i="36"/>
  <c r="W97" i="36"/>
  <c r="W153" i="36"/>
  <c r="G10" i="36"/>
  <c r="F12" i="36"/>
  <c r="W12" i="36" s="1"/>
  <c r="E42" i="36"/>
  <c r="T77" i="36"/>
  <c r="M77" i="36" s="1"/>
  <c r="T152" i="36"/>
  <c r="M152" i="36" s="1"/>
  <c r="T130" i="36"/>
  <c r="M130" i="36" s="1"/>
  <c r="T42" i="36"/>
  <c r="M42" i="36" s="1"/>
  <c r="W23" i="36"/>
  <c r="W15" i="36"/>
  <c r="W19" i="36"/>
  <c r="W27" i="36"/>
  <c r="W35" i="36"/>
  <c r="W39" i="36"/>
  <c r="W52" i="36"/>
  <c r="W43" i="36"/>
  <c r="W51" i="36"/>
  <c r="W67" i="36"/>
  <c r="W71" i="36"/>
  <c r="W85" i="36"/>
  <c r="W100" i="36"/>
  <c r="W112" i="36"/>
  <c r="W116" i="36"/>
  <c r="W119" i="36"/>
  <c r="W131" i="36"/>
  <c r="W140" i="36"/>
  <c r="W141" i="36"/>
  <c r="W107" i="36"/>
  <c r="W108" i="36"/>
  <c r="W127" i="36"/>
  <c r="W139" i="36"/>
  <c r="W17" i="36"/>
  <c r="W31" i="36"/>
  <c r="W55" i="36"/>
  <c r="W68" i="36"/>
  <c r="W72" i="36"/>
  <c r="W74" i="36"/>
  <c r="W83" i="36"/>
  <c r="W84" i="36"/>
  <c r="W86" i="36"/>
  <c r="W99" i="36"/>
  <c r="W113" i="36"/>
  <c r="W124" i="36"/>
  <c r="W22" i="36"/>
  <c r="W24" i="36"/>
  <c r="W58" i="36"/>
  <c r="W64" i="36"/>
  <c r="W79" i="36"/>
  <c r="W102" i="36"/>
  <c r="W111" i="36"/>
  <c r="W121" i="36"/>
  <c r="W122" i="36"/>
  <c r="W132" i="36"/>
  <c r="W134" i="36"/>
  <c r="W142" i="36"/>
  <c r="W148" i="36"/>
  <c r="X12" i="36"/>
  <c r="W16" i="36"/>
  <c r="U16" i="36"/>
  <c r="D16" i="36" s="1"/>
  <c r="W18" i="36"/>
  <c r="U18" i="36"/>
  <c r="D18" i="36" s="1"/>
  <c r="U155" i="36"/>
  <c r="D155" i="36" s="1"/>
  <c r="U153" i="36"/>
  <c r="U150" i="36"/>
  <c r="D150" i="36" s="1"/>
  <c r="C150" i="36" s="1"/>
  <c r="V150" i="36" s="1"/>
  <c r="U146" i="36"/>
  <c r="D146" i="36" s="1"/>
  <c r="C146" i="36" s="1"/>
  <c r="V146" i="36" s="1"/>
  <c r="U137" i="36"/>
  <c r="D137" i="36" s="1"/>
  <c r="U136" i="36"/>
  <c r="U134" i="36"/>
  <c r="D134" i="36" s="1"/>
  <c r="C134" i="36" s="1"/>
  <c r="V134" i="36" s="1"/>
  <c r="U128" i="36"/>
  <c r="D128" i="36" s="1"/>
  <c r="C128" i="36" s="1"/>
  <c r="V128" i="36" s="1"/>
  <c r="U127" i="36"/>
  <c r="D127" i="36" s="1"/>
  <c r="C127" i="36" s="1"/>
  <c r="V127" i="36" s="1"/>
  <c r="U125" i="36"/>
  <c r="D125" i="36" s="1"/>
  <c r="C125" i="36" s="1"/>
  <c r="V125" i="36" s="1"/>
  <c r="U123" i="36"/>
  <c r="D123" i="36" s="1"/>
  <c r="C123" i="36" s="1"/>
  <c r="V123" i="36" s="1"/>
  <c r="U108" i="36"/>
  <c r="D108" i="36" s="1"/>
  <c r="C108" i="36" s="1"/>
  <c r="V108" i="36" s="1"/>
  <c r="U106" i="36"/>
  <c r="U97" i="36"/>
  <c r="D97" i="36" s="1"/>
  <c r="C97" i="36" s="1"/>
  <c r="V97" i="36" s="1"/>
  <c r="U96" i="36"/>
  <c r="D96" i="36" s="1"/>
  <c r="C96" i="36" s="1"/>
  <c r="V96" i="36" s="1"/>
  <c r="U95" i="36"/>
  <c r="D95" i="36" s="1"/>
  <c r="C95" i="36" s="1"/>
  <c r="V95" i="36" s="1"/>
  <c r="U94" i="36"/>
  <c r="D94" i="36" s="1"/>
  <c r="C94" i="36" s="1"/>
  <c r="V94" i="36" s="1"/>
  <c r="U93" i="36"/>
  <c r="D93" i="36" s="1"/>
  <c r="C93" i="36" s="1"/>
  <c r="V93" i="36" s="1"/>
  <c r="U92" i="36"/>
  <c r="D92" i="36" s="1"/>
  <c r="C92" i="36" s="1"/>
  <c r="V92" i="36" s="1"/>
  <c r="U91" i="36"/>
  <c r="D91" i="36" s="1"/>
  <c r="C91" i="36" s="1"/>
  <c r="V91" i="36" s="1"/>
  <c r="U90" i="36"/>
  <c r="D90" i="36" s="1"/>
  <c r="C90" i="36" s="1"/>
  <c r="V90" i="36" s="1"/>
  <c r="U88" i="36"/>
  <c r="D88" i="36" s="1"/>
  <c r="C88" i="36" s="1"/>
  <c r="V88" i="36" s="1"/>
  <c r="U86" i="36"/>
  <c r="D86" i="36" s="1"/>
  <c r="C86" i="36" s="1"/>
  <c r="V86" i="36" s="1"/>
  <c r="U84" i="36"/>
  <c r="D84" i="36" s="1"/>
  <c r="C84" i="36" s="1"/>
  <c r="V84" i="36" s="1"/>
  <c r="U81" i="36"/>
  <c r="D81" i="36" s="1"/>
  <c r="C81" i="36" s="1"/>
  <c r="V81" i="36" s="1"/>
  <c r="U79" i="36"/>
  <c r="D79" i="36" s="1"/>
  <c r="C79" i="36" s="1"/>
  <c r="V79" i="36" s="1"/>
  <c r="U76" i="36"/>
  <c r="D76" i="36" s="1"/>
  <c r="C76" i="36" s="1"/>
  <c r="V76" i="36" s="1"/>
  <c r="U75" i="36"/>
  <c r="D75" i="36" s="1"/>
  <c r="C75" i="36" s="1"/>
  <c r="V75" i="36" s="1"/>
  <c r="U74" i="36"/>
  <c r="U154" i="36"/>
  <c r="D154" i="36" s="1"/>
  <c r="U149" i="36"/>
  <c r="U145" i="36"/>
  <c r="U139" i="36"/>
  <c r="U133" i="36"/>
  <c r="D133" i="36" s="1"/>
  <c r="C133" i="36" s="1"/>
  <c r="V133" i="36" s="1"/>
  <c r="U129" i="36"/>
  <c r="D129" i="36" s="1"/>
  <c r="U122" i="36"/>
  <c r="D122" i="36" s="1"/>
  <c r="C122" i="36" s="1"/>
  <c r="V122" i="36" s="1"/>
  <c r="U120" i="36"/>
  <c r="D120" i="36" s="1"/>
  <c r="C120" i="36" s="1"/>
  <c r="V120" i="36" s="1"/>
  <c r="U112" i="36"/>
  <c r="D112" i="36" s="1"/>
  <c r="C112" i="36" s="1"/>
  <c r="V112" i="36" s="1"/>
  <c r="U110" i="36"/>
  <c r="D110" i="36" s="1"/>
  <c r="C110" i="36" s="1"/>
  <c r="V110" i="36" s="1"/>
  <c r="U104" i="36"/>
  <c r="U103" i="36"/>
  <c r="D103" i="36" s="1"/>
  <c r="U101" i="36"/>
  <c r="D101" i="36" s="1"/>
  <c r="C101" i="36" s="1"/>
  <c r="V101" i="36" s="1"/>
  <c r="U99" i="36"/>
  <c r="U151" i="36"/>
  <c r="D151" i="36" s="1"/>
  <c r="U148" i="36"/>
  <c r="D148" i="36" s="1"/>
  <c r="C148" i="36" s="1"/>
  <c r="V148" i="36" s="1"/>
  <c r="U143" i="36"/>
  <c r="D143" i="36" s="1"/>
  <c r="C143" i="36" s="1"/>
  <c r="V143" i="36" s="1"/>
  <c r="U142" i="36"/>
  <c r="U141" i="36"/>
  <c r="U135" i="36"/>
  <c r="D135" i="36" s="1"/>
  <c r="U132" i="36"/>
  <c r="D132" i="36" s="1"/>
  <c r="C132" i="36" s="1"/>
  <c r="V132" i="36" s="1"/>
  <c r="U126" i="36"/>
  <c r="D126" i="36" s="1"/>
  <c r="C126" i="36" s="1"/>
  <c r="V126" i="36" s="1"/>
  <c r="U124" i="36"/>
  <c r="D124" i="36" s="1"/>
  <c r="C124" i="36" s="1"/>
  <c r="V124" i="36" s="1"/>
  <c r="U116" i="36"/>
  <c r="D116" i="36" s="1"/>
  <c r="C116" i="36" s="1"/>
  <c r="V116" i="36" s="1"/>
  <c r="U115" i="36"/>
  <c r="D115" i="36" s="1"/>
  <c r="C115" i="36" s="1"/>
  <c r="U107" i="36"/>
  <c r="D107" i="36" s="1"/>
  <c r="C107" i="36" s="1"/>
  <c r="V107" i="36" s="1"/>
  <c r="U156" i="36"/>
  <c r="D156" i="36" s="1"/>
  <c r="C156" i="36" s="1"/>
  <c r="V156" i="36" s="1"/>
  <c r="U147" i="36"/>
  <c r="U140" i="36"/>
  <c r="D140" i="36" s="1"/>
  <c r="C140" i="36" s="1"/>
  <c r="V140" i="36" s="1"/>
  <c r="U131" i="36"/>
  <c r="U121" i="36"/>
  <c r="D121" i="36" s="1"/>
  <c r="C121" i="36" s="1"/>
  <c r="V121" i="36" s="1"/>
  <c r="U118" i="36"/>
  <c r="D118" i="36" s="1"/>
  <c r="C118" i="36" s="1"/>
  <c r="V118" i="36" s="1"/>
  <c r="U117" i="36"/>
  <c r="D117" i="36" s="1"/>
  <c r="U114" i="36"/>
  <c r="D114" i="36" s="1"/>
  <c r="C114" i="36" s="1"/>
  <c r="V114" i="36" s="1"/>
  <c r="U113" i="36"/>
  <c r="D113" i="36" s="1"/>
  <c r="C113" i="36" s="1"/>
  <c r="V113" i="36" s="1"/>
  <c r="U111" i="36"/>
  <c r="D111" i="36" s="1"/>
  <c r="C111" i="36" s="1"/>
  <c r="V111" i="36" s="1"/>
  <c r="U109" i="36"/>
  <c r="D109" i="36" s="1"/>
  <c r="C109" i="36" s="1"/>
  <c r="V109" i="36" s="1"/>
  <c r="U102" i="36"/>
  <c r="D102" i="36" s="1"/>
  <c r="C102" i="36" s="1"/>
  <c r="V102" i="36" s="1"/>
  <c r="U100" i="36"/>
  <c r="D100" i="36" s="1"/>
  <c r="C100" i="36" s="1"/>
  <c r="V100" i="36" s="1"/>
  <c r="U89" i="36"/>
  <c r="D89" i="36" s="1"/>
  <c r="C89" i="36" s="1"/>
  <c r="V89" i="36" s="1"/>
  <c r="U72" i="36"/>
  <c r="D72" i="36" s="1"/>
  <c r="C72" i="36" s="1"/>
  <c r="V72" i="36" s="1"/>
  <c r="U68" i="36"/>
  <c r="D68" i="36" s="1"/>
  <c r="C68" i="36" s="1"/>
  <c r="V68" i="36" s="1"/>
  <c r="U63" i="36"/>
  <c r="D63" i="36" s="1"/>
  <c r="C63" i="36" s="1"/>
  <c r="V63" i="36" s="1"/>
  <c r="U60" i="36"/>
  <c r="U49" i="36"/>
  <c r="D49" i="36" s="1"/>
  <c r="C49" i="36" s="1"/>
  <c r="U46" i="36"/>
  <c r="D46" i="36" s="1"/>
  <c r="C46" i="36" s="1"/>
  <c r="V46" i="36" s="1"/>
  <c r="U44" i="36"/>
  <c r="D44" i="36" s="1"/>
  <c r="C44" i="36" s="1"/>
  <c r="V44" i="36" s="1"/>
  <c r="U43" i="36"/>
  <c r="U87" i="36"/>
  <c r="D87" i="36" s="1"/>
  <c r="C87" i="36" s="1"/>
  <c r="V87" i="36" s="1"/>
  <c r="U80" i="36"/>
  <c r="D80" i="36" s="1"/>
  <c r="C80" i="36" s="1"/>
  <c r="V80" i="36" s="1"/>
  <c r="U69" i="36"/>
  <c r="D69" i="36" s="1"/>
  <c r="C69" i="36" s="1"/>
  <c r="V69" i="36" s="1"/>
  <c r="U64" i="36"/>
  <c r="D64" i="36" s="1"/>
  <c r="C64" i="36" s="1"/>
  <c r="V64" i="36" s="1"/>
  <c r="U56" i="36"/>
  <c r="D56" i="36" s="1"/>
  <c r="C56" i="36" s="1"/>
  <c r="V56" i="36" s="1"/>
  <c r="U54" i="36"/>
  <c r="D54" i="36" s="1"/>
  <c r="C54" i="36" s="1"/>
  <c r="V54" i="36" s="1"/>
  <c r="U50" i="36"/>
  <c r="D50" i="36" s="1"/>
  <c r="C50" i="36" s="1"/>
  <c r="V50" i="36" s="1"/>
  <c r="U47" i="36"/>
  <c r="D47" i="36" s="1"/>
  <c r="C47" i="36" s="1"/>
  <c r="V47" i="36" s="1"/>
  <c r="U39" i="36"/>
  <c r="D39" i="36" s="1"/>
  <c r="C39" i="36" s="1"/>
  <c r="V39" i="36" s="1"/>
  <c r="U37" i="36"/>
  <c r="D37" i="36" s="1"/>
  <c r="C37" i="36" s="1"/>
  <c r="V37" i="36" s="1"/>
  <c r="U35" i="36"/>
  <c r="D35" i="36" s="1"/>
  <c r="C35" i="36" s="1"/>
  <c r="V35" i="36" s="1"/>
  <c r="U33" i="36"/>
  <c r="D33" i="36" s="1"/>
  <c r="C33" i="36" s="1"/>
  <c r="V33" i="36" s="1"/>
  <c r="U31" i="36"/>
  <c r="D31" i="36" s="1"/>
  <c r="C31" i="36" s="1"/>
  <c r="V31" i="36" s="1"/>
  <c r="U29" i="36"/>
  <c r="D29" i="36" s="1"/>
  <c r="C29" i="36" s="1"/>
  <c r="V29" i="36" s="1"/>
  <c r="U27" i="36"/>
  <c r="U20" i="36"/>
  <c r="U85" i="36"/>
  <c r="D85" i="36" s="1"/>
  <c r="C85" i="36" s="1"/>
  <c r="V85" i="36" s="1"/>
  <c r="U78" i="36"/>
  <c r="U70" i="36"/>
  <c r="D70" i="36" s="1"/>
  <c r="C70" i="36" s="1"/>
  <c r="V70" i="36" s="1"/>
  <c r="U66" i="36"/>
  <c r="U51" i="36"/>
  <c r="D51" i="36" s="1"/>
  <c r="C51" i="36" s="1"/>
  <c r="V51" i="36" s="1"/>
  <c r="U45" i="36"/>
  <c r="D45" i="36" s="1"/>
  <c r="C45" i="36" s="1"/>
  <c r="V45" i="36" s="1"/>
  <c r="U83" i="36"/>
  <c r="U71" i="36"/>
  <c r="D71" i="36" s="1"/>
  <c r="C71" i="36" s="1"/>
  <c r="V71" i="36" s="1"/>
  <c r="U67" i="36"/>
  <c r="D67" i="36" s="1"/>
  <c r="C67" i="36" s="1"/>
  <c r="V67" i="36" s="1"/>
  <c r="U62" i="36"/>
  <c r="D62" i="36" s="1"/>
  <c r="C62" i="36" s="1"/>
  <c r="V62" i="36" s="1"/>
  <c r="U61" i="36"/>
  <c r="D61" i="36" s="1"/>
  <c r="C61" i="36" s="1"/>
  <c r="V61" i="36" s="1"/>
  <c r="U58" i="36"/>
  <c r="D58" i="36" s="1"/>
  <c r="C58" i="36" s="1"/>
  <c r="V58" i="36" s="1"/>
  <c r="U57" i="36"/>
  <c r="D57" i="36" s="1"/>
  <c r="C57" i="36" s="1"/>
  <c r="V57" i="36" s="1"/>
  <c r="U55" i="36"/>
  <c r="D55" i="36" s="1"/>
  <c r="C55" i="36" s="1"/>
  <c r="V55" i="36" s="1"/>
  <c r="U52" i="36"/>
  <c r="D52" i="36" s="1"/>
  <c r="C52" i="36" s="1"/>
  <c r="V52" i="36" s="1"/>
  <c r="U48" i="36"/>
  <c r="D48" i="36" s="1"/>
  <c r="C48" i="36" s="1"/>
  <c r="V48" i="36" s="1"/>
  <c r="U41" i="36"/>
  <c r="U40" i="36"/>
  <c r="D40" i="36" s="1"/>
  <c r="C40" i="36" s="1"/>
  <c r="V40" i="36" s="1"/>
  <c r="U38" i="36"/>
  <c r="D38" i="36" s="1"/>
  <c r="C38" i="36" s="1"/>
  <c r="V38" i="36" s="1"/>
  <c r="U36" i="36"/>
  <c r="D36" i="36" s="1"/>
  <c r="C36" i="36" s="1"/>
  <c r="V36" i="36" s="1"/>
  <c r="U34" i="36"/>
  <c r="D34" i="36" s="1"/>
  <c r="C34" i="36" s="1"/>
  <c r="V34" i="36" s="1"/>
  <c r="U32" i="36"/>
  <c r="D32" i="36" s="1"/>
  <c r="C32" i="36" s="1"/>
  <c r="V32" i="36" s="1"/>
  <c r="U30" i="36"/>
  <c r="D30" i="36" s="1"/>
  <c r="C30" i="36" s="1"/>
  <c r="V30" i="36" s="1"/>
  <c r="U28" i="36"/>
  <c r="D28" i="36" s="1"/>
  <c r="C28" i="36" s="1"/>
  <c r="V28" i="36" s="1"/>
  <c r="U25" i="36"/>
  <c r="U11" i="36"/>
  <c r="U24" i="36"/>
  <c r="D24" i="36" s="1"/>
  <c r="U23" i="36"/>
  <c r="D23" i="36" s="1"/>
  <c r="U22" i="36"/>
  <c r="D22" i="36" s="1"/>
  <c r="U21" i="36"/>
  <c r="U13" i="36"/>
  <c r="D13" i="36" s="1"/>
  <c r="C13" i="36" s="1"/>
  <c r="V13" i="36" s="1"/>
  <c r="H12" i="36"/>
  <c r="I10" i="36"/>
  <c r="I9" i="36" s="1"/>
  <c r="H9" i="36" s="1"/>
  <c r="F10" i="36"/>
  <c r="O10" i="36"/>
  <c r="O9" i="36" s="1"/>
  <c r="U14" i="36"/>
  <c r="D14" i="36" s="1"/>
  <c r="C14" i="36" s="1"/>
  <c r="V14" i="36" s="1"/>
  <c r="W29" i="36"/>
  <c r="W33" i="36"/>
  <c r="W37" i="36"/>
  <c r="W57" i="36"/>
  <c r="W61" i="36"/>
  <c r="W70" i="36"/>
  <c r="J13" i="36"/>
  <c r="X13" i="36" s="1"/>
  <c r="Y13" i="36"/>
  <c r="D12" i="36"/>
  <c r="U15" i="36"/>
  <c r="D15" i="36" s="1"/>
  <c r="U17" i="36"/>
  <c r="D17" i="36" s="1"/>
  <c r="W32" i="36"/>
  <c r="W36" i="36"/>
  <c r="W40" i="36"/>
  <c r="X55" i="36"/>
  <c r="Q53" i="36"/>
  <c r="X67" i="36"/>
  <c r="X39" i="36"/>
  <c r="R10" i="36"/>
  <c r="R9" i="36" s="1"/>
  <c r="Q20" i="36"/>
  <c r="X20" i="36" s="1"/>
  <c r="Q27" i="36"/>
  <c r="X27" i="36" s="1"/>
  <c r="Q29" i="36"/>
  <c r="X29" i="36" s="1"/>
  <c r="Q31" i="36"/>
  <c r="X31" i="36" s="1"/>
  <c r="Q33" i="36"/>
  <c r="X33" i="36" s="1"/>
  <c r="Q35" i="36"/>
  <c r="X35" i="36" s="1"/>
  <c r="Q37" i="36"/>
  <c r="X37" i="36" s="1"/>
  <c r="Q39" i="36"/>
  <c r="I42" i="36"/>
  <c r="R42" i="36"/>
  <c r="Y42" i="36" s="1"/>
  <c r="J47" i="36"/>
  <c r="X47" i="36" s="1"/>
  <c r="Y52" i="36"/>
  <c r="E53" i="36"/>
  <c r="I53" i="36"/>
  <c r="H53" i="36" s="1"/>
  <c r="J54" i="36"/>
  <c r="Q56" i="36"/>
  <c r="X56" i="36" s="1"/>
  <c r="I59" i="36"/>
  <c r="H59" i="36" s="1"/>
  <c r="J64" i="36"/>
  <c r="X64" i="36" s="1"/>
  <c r="F65" i="36"/>
  <c r="W65" i="36" s="1"/>
  <c r="Y67" i="36"/>
  <c r="J69" i="36"/>
  <c r="X69" i="36" s="1"/>
  <c r="Y71" i="36"/>
  <c r="K73" i="36"/>
  <c r="Y73" i="36" s="1"/>
  <c r="J74" i="36"/>
  <c r="I77" i="36"/>
  <c r="H77" i="36" s="1"/>
  <c r="X78" i="36"/>
  <c r="W80" i="36"/>
  <c r="Y80" i="36"/>
  <c r="W87" i="36"/>
  <c r="Y87" i="36"/>
  <c r="W101" i="36"/>
  <c r="W106" i="36"/>
  <c r="W110" i="36"/>
  <c r="W114" i="36"/>
  <c r="W123" i="36"/>
  <c r="W125" i="36"/>
  <c r="D142" i="36"/>
  <c r="C142" i="36" s="1"/>
  <c r="V142" i="36" s="1"/>
  <c r="W143" i="36"/>
  <c r="D145" i="36"/>
  <c r="C145" i="36" s="1"/>
  <c r="V145" i="36" s="1"/>
  <c r="W146" i="36"/>
  <c r="D149" i="36"/>
  <c r="C149" i="36" s="1"/>
  <c r="V149" i="36" s="1"/>
  <c r="W150" i="36"/>
  <c r="S157" i="36"/>
  <c r="P157" i="36" s="1"/>
  <c r="J98" i="36"/>
  <c r="X98" i="36" s="1"/>
  <c r="X100" i="36"/>
  <c r="X124" i="36"/>
  <c r="Q119" i="36"/>
  <c r="X147" i="36"/>
  <c r="Q144" i="36"/>
  <c r="N157" i="36"/>
  <c r="X107" i="36"/>
  <c r="Q105" i="36"/>
  <c r="Q104" i="36" s="1"/>
  <c r="X131" i="36"/>
  <c r="X132" i="36"/>
  <c r="Q130" i="36"/>
  <c r="F26" i="36"/>
  <c r="W26" i="36" s="1"/>
  <c r="F41" i="36"/>
  <c r="W41" i="36" s="1"/>
  <c r="F42" i="36"/>
  <c r="W42" i="36" s="1"/>
  <c r="J43" i="36"/>
  <c r="Q44" i="36"/>
  <c r="Q42" i="36" s="1"/>
  <c r="J46" i="36"/>
  <c r="X46" i="36" s="1"/>
  <c r="F53" i="36"/>
  <c r="W53" i="36" s="1"/>
  <c r="F59" i="36"/>
  <c r="W59" i="36" s="1"/>
  <c r="J60" i="36"/>
  <c r="R77" i="36"/>
  <c r="Y77" i="36" s="1"/>
  <c r="J79" i="36"/>
  <c r="Y83" i="36"/>
  <c r="J86" i="36"/>
  <c r="X86" i="36" s="1"/>
  <c r="W90" i="36"/>
  <c r="I156" i="36"/>
  <c r="H156" i="36" s="1"/>
  <c r="F156" i="36" s="1"/>
  <c r="W156" i="36" s="1"/>
  <c r="X156" i="36"/>
  <c r="J26" i="36"/>
  <c r="I82" i="36"/>
  <c r="H82" i="36" s="1"/>
  <c r="X83" i="36"/>
  <c r="W118" i="36"/>
  <c r="W120" i="36"/>
  <c r="W145" i="36"/>
  <c r="W149" i="36"/>
  <c r="Y100" i="36"/>
  <c r="Y102" i="36"/>
  <c r="Y109" i="36"/>
  <c r="Y111" i="36"/>
  <c r="Y113" i="36"/>
  <c r="E119" i="36"/>
  <c r="I119" i="36"/>
  <c r="Y121" i="36"/>
  <c r="Y131" i="36"/>
  <c r="O138" i="36"/>
  <c r="W138" i="36" s="1"/>
  <c r="T138" i="36"/>
  <c r="M138" i="36" s="1"/>
  <c r="Y140" i="36"/>
  <c r="Y147" i="36"/>
  <c r="O152" i="36"/>
  <c r="I155" i="36"/>
  <c r="H155" i="36" s="1"/>
  <c r="Y89" i="36"/>
  <c r="Y107" i="36"/>
  <c r="Y124" i="36"/>
  <c r="Y126" i="36"/>
  <c r="Y132" i="36"/>
  <c r="Y141" i="36"/>
  <c r="J90" i="36"/>
  <c r="X90" i="36" s="1"/>
  <c r="J108" i="36"/>
  <c r="J125" i="36"/>
  <c r="X125" i="36" s="1"/>
  <c r="J127" i="36"/>
  <c r="X127" i="36" s="1"/>
  <c r="J139" i="36"/>
  <c r="D141" i="36"/>
  <c r="C141" i="36" s="1"/>
  <c r="V141" i="36" s="1"/>
  <c r="H141" i="36"/>
  <c r="J146" i="36"/>
  <c r="X146" i="36" s="1"/>
  <c r="J150" i="36"/>
  <c r="X150" i="36" s="1"/>
  <c r="J152" i="36"/>
  <c r="X152" i="36" s="1"/>
  <c r="R152" i="36"/>
  <c r="Y152" i="36" s="1"/>
  <c r="J153" i="36"/>
  <c r="X153" i="36" s="1"/>
  <c r="L157" i="36"/>
  <c r="G157" i="36" s="1"/>
  <c r="I98" i="36"/>
  <c r="H98" i="36" s="1"/>
  <c r="J119" i="36"/>
  <c r="X119" i="36" s="1"/>
  <c r="J134" i="36"/>
  <c r="X134" i="36" s="1"/>
  <c r="Q41" i="36" l="1"/>
  <c r="Y104" i="36"/>
  <c r="W130" i="36"/>
  <c r="W152" i="36"/>
  <c r="Q10" i="36"/>
  <c r="D147" i="36"/>
  <c r="C147" i="36" s="1"/>
  <c r="V147" i="36" s="1"/>
  <c r="Y130" i="36"/>
  <c r="K104" i="36"/>
  <c r="G104" i="36"/>
  <c r="F104" i="36" s="1"/>
  <c r="W104" i="36" s="1"/>
  <c r="T41" i="36"/>
  <c r="M41" i="36" s="1"/>
  <c r="U144" i="36"/>
  <c r="D144" i="36" s="1"/>
  <c r="C144" i="36" s="1"/>
  <c r="V144" i="36" s="1"/>
  <c r="W10" i="36"/>
  <c r="W9" i="36" s="1"/>
  <c r="X79" i="36"/>
  <c r="J77" i="36"/>
  <c r="X77" i="36" s="1"/>
  <c r="J42" i="36"/>
  <c r="X43" i="36"/>
  <c r="U77" i="36"/>
  <c r="D77" i="36" s="1"/>
  <c r="C77" i="36" s="1"/>
  <c r="V77" i="36" s="1"/>
  <c r="D78" i="36"/>
  <c r="C78" i="36" s="1"/>
  <c r="V78" i="36" s="1"/>
  <c r="U130" i="36"/>
  <c r="D130" i="36" s="1"/>
  <c r="C130" i="36" s="1"/>
  <c r="V130" i="36" s="1"/>
  <c r="D131" i="36"/>
  <c r="C131" i="36" s="1"/>
  <c r="V131" i="36" s="1"/>
  <c r="D99" i="36"/>
  <c r="C99" i="36" s="1"/>
  <c r="V99" i="36" s="1"/>
  <c r="U98" i="36"/>
  <c r="D98" i="36" s="1"/>
  <c r="C98" i="36" s="1"/>
  <c r="V98" i="36" s="1"/>
  <c r="Q26" i="36"/>
  <c r="Q9" i="36" s="1"/>
  <c r="Q157" i="36" s="1"/>
  <c r="G9" i="36"/>
  <c r="U10" i="36"/>
  <c r="U53" i="36"/>
  <c r="J59" i="36"/>
  <c r="X59" i="36" s="1"/>
  <c r="X60" i="36"/>
  <c r="X54" i="36"/>
  <c r="J53" i="36"/>
  <c r="X53" i="36" s="1"/>
  <c r="C12" i="36"/>
  <c r="D10" i="36"/>
  <c r="U82" i="36"/>
  <c r="D82" i="36" s="1"/>
  <c r="C82" i="36" s="1"/>
  <c r="V82" i="36" s="1"/>
  <c r="D83" i="36"/>
  <c r="C83" i="36" s="1"/>
  <c r="V83" i="36" s="1"/>
  <c r="D27" i="36"/>
  <c r="U26" i="36"/>
  <c r="J144" i="36"/>
  <c r="F9" i="36"/>
  <c r="X44" i="36"/>
  <c r="J10" i="36"/>
  <c r="J9" i="36" s="1"/>
  <c r="K157" i="36"/>
  <c r="F157" i="36"/>
  <c r="L2" i="36"/>
  <c r="X139" i="36"/>
  <c r="J138" i="36"/>
  <c r="X138" i="36" s="1"/>
  <c r="J105" i="36"/>
  <c r="X108" i="36"/>
  <c r="E104" i="36"/>
  <c r="J73" i="36"/>
  <c r="X73" i="36" s="1"/>
  <c r="X74" i="36"/>
  <c r="U65" i="36"/>
  <c r="D65" i="36" s="1"/>
  <c r="C65" i="36" s="1"/>
  <c r="V65" i="36" s="1"/>
  <c r="D66" i="36"/>
  <c r="C66" i="36" s="1"/>
  <c r="V66" i="36" s="1"/>
  <c r="D43" i="36"/>
  <c r="C43" i="36" s="1"/>
  <c r="V43" i="36" s="1"/>
  <c r="U42" i="36"/>
  <c r="D42" i="36" s="1"/>
  <c r="C42" i="36" s="1"/>
  <c r="V42" i="36" s="1"/>
  <c r="D60" i="36"/>
  <c r="C60" i="36" s="1"/>
  <c r="V60" i="36" s="1"/>
  <c r="U59" i="36"/>
  <c r="D59" i="36" s="1"/>
  <c r="C59" i="36" s="1"/>
  <c r="V59" i="36" s="1"/>
  <c r="U138" i="36"/>
  <c r="D138" i="36" s="1"/>
  <c r="C138" i="36" s="1"/>
  <c r="V138" i="36" s="1"/>
  <c r="D139" i="36"/>
  <c r="C139" i="36" s="1"/>
  <c r="V139" i="36" s="1"/>
  <c r="D74" i="36"/>
  <c r="C74" i="36" s="1"/>
  <c r="V74" i="36" s="1"/>
  <c r="U73" i="36"/>
  <c r="D73" i="36" s="1"/>
  <c r="C73" i="36" s="1"/>
  <c r="V73" i="36" s="1"/>
  <c r="U105" i="36"/>
  <c r="D105" i="36" s="1"/>
  <c r="C105" i="36" s="1"/>
  <c r="V105" i="36" s="1"/>
  <c r="D106" i="36"/>
  <c r="C106" i="36" s="1"/>
  <c r="V106" i="36" s="1"/>
  <c r="J130" i="36"/>
  <c r="X130" i="36" s="1"/>
  <c r="U119" i="36"/>
  <c r="D119" i="36" s="1"/>
  <c r="C119" i="36" s="1"/>
  <c r="V119" i="36" s="1"/>
  <c r="X10" i="36"/>
  <c r="I104" i="36"/>
  <c r="H119" i="36"/>
  <c r="O157" i="36"/>
  <c r="R157" i="36"/>
  <c r="D53" i="36"/>
  <c r="C53" i="36" s="1"/>
  <c r="V53" i="36" s="1"/>
  <c r="E41" i="36"/>
  <c r="D41" i="36" s="1"/>
  <c r="C41" i="36" s="1"/>
  <c r="H42" i="36"/>
  <c r="I41" i="36"/>
  <c r="H41" i="36" s="1"/>
  <c r="U152" i="36"/>
  <c r="D153" i="36"/>
  <c r="C153" i="36" s="1"/>
  <c r="V153" i="36" s="1"/>
  <c r="J82" i="36"/>
  <c r="X82" i="36" s="1"/>
  <c r="J65" i="36"/>
  <c r="X65" i="36" s="1"/>
  <c r="H10" i="36"/>
  <c r="X26" i="36" l="1"/>
  <c r="T157" i="36"/>
  <c r="M157" i="36" s="1"/>
  <c r="V41" i="36"/>
  <c r="H104" i="36"/>
  <c r="H157" i="36" s="1"/>
  <c r="I157" i="36"/>
  <c r="C27" i="36"/>
  <c r="V27" i="36" s="1"/>
  <c r="D26" i="36"/>
  <c r="C26" i="36" s="1"/>
  <c r="V26" i="36" s="1"/>
  <c r="V12" i="36"/>
  <c r="C10" i="36"/>
  <c r="J41" i="36"/>
  <c r="X41" i="36" s="1"/>
  <c r="X42" i="36"/>
  <c r="D104" i="36"/>
  <c r="C104" i="36" s="1"/>
  <c r="V104" i="36" s="1"/>
  <c r="E157" i="36"/>
  <c r="X144" i="36"/>
  <c r="U9" i="36"/>
  <c r="U157" i="36" s="1"/>
  <c r="U3" i="36"/>
  <c r="Y157" i="36"/>
  <c r="D152" i="36"/>
  <c r="C152" i="36" s="1"/>
  <c r="V152" i="36" s="1"/>
  <c r="X105" i="36"/>
  <c r="J104" i="36"/>
  <c r="X104" i="36" s="1"/>
  <c r="X9" i="36"/>
  <c r="W157" i="36"/>
  <c r="J157" i="36" l="1"/>
  <c r="X157" i="36" s="1"/>
  <c r="V10" i="36"/>
  <c r="V9" i="36" s="1"/>
  <c r="C9" i="36"/>
  <c r="D9" i="36"/>
  <c r="D157" i="36" s="1"/>
  <c r="C157" i="36" l="1"/>
  <c r="V157" i="36" s="1"/>
  <c r="D2" i="36"/>
  <c r="W12" i="18" l="1"/>
  <c r="R12" i="18"/>
  <c r="Y12" i="18" s="1"/>
  <c r="R13" i="18"/>
  <c r="R14" i="18"/>
  <c r="R15" i="18"/>
  <c r="R16" i="18"/>
  <c r="R17" i="18"/>
  <c r="R18" i="18"/>
  <c r="R19" i="18"/>
  <c r="R20" i="18"/>
  <c r="R21" i="18"/>
  <c r="R22" i="18"/>
  <c r="R23" i="18"/>
  <c r="R24" i="18"/>
  <c r="E137" i="18"/>
  <c r="E112" i="18"/>
  <c r="E107" i="18" s="1"/>
  <c r="E101" i="18"/>
  <c r="E91" i="18"/>
  <c r="E88" i="18" s="1"/>
  <c r="E72" i="18"/>
  <c r="E69" i="18" s="1"/>
  <c r="F53" i="18"/>
  <c r="E53" i="18"/>
  <c r="E54" i="18"/>
  <c r="E49" i="18"/>
  <c r="E62" i="18"/>
  <c r="E31" i="18"/>
  <c r="E32" i="18"/>
  <c r="E12" i="18"/>
  <c r="E44" i="18"/>
  <c r="U8" i="18"/>
  <c r="T141" i="18"/>
  <c r="M141" i="18" s="1"/>
  <c r="T137" i="18"/>
  <c r="T153" i="18"/>
  <c r="L53" i="18"/>
  <c r="K53" i="18" s="1"/>
  <c r="T54" i="18"/>
  <c r="T52" i="18" s="1"/>
  <c r="M52" i="18" s="1"/>
  <c r="M137" i="18"/>
  <c r="T100" i="18"/>
  <c r="T95" i="18" s="1"/>
  <c r="T76" i="18"/>
  <c r="M76" i="18" s="1"/>
  <c r="T72" i="18"/>
  <c r="M72" i="18" s="1"/>
  <c r="T71" i="18"/>
  <c r="E130" i="18"/>
  <c r="T126" i="18"/>
  <c r="T122" i="18"/>
  <c r="M122" i="18" s="1"/>
  <c r="T9" i="18"/>
  <c r="E126" i="18"/>
  <c r="E39" i="18"/>
  <c r="E76" i="18"/>
  <c r="E74" i="18" s="1"/>
  <c r="K72" i="18"/>
  <c r="E100" i="18"/>
  <c r="E67" i="18"/>
  <c r="E66" i="18" s="1"/>
  <c r="E42" i="18"/>
  <c r="E40" i="18"/>
  <c r="L148" i="19"/>
  <c r="I148" i="19"/>
  <c r="H148" i="19"/>
  <c r="G148" i="19"/>
  <c r="X144" i="19"/>
  <c r="R144" i="19"/>
  <c r="P144" i="19"/>
  <c r="O144" i="19" s="1"/>
  <c r="M144" i="19"/>
  <c r="K144" i="19"/>
  <c r="H144" i="19"/>
  <c r="G144" i="19"/>
  <c r="F144" i="19" s="1"/>
  <c r="X143" i="19"/>
  <c r="P143" i="19"/>
  <c r="M143" i="19"/>
  <c r="L143" i="19"/>
  <c r="B143" i="19"/>
  <c r="P142" i="19"/>
  <c r="M142" i="19"/>
  <c r="K142" i="19"/>
  <c r="G142" i="19"/>
  <c r="F142" i="19" s="1"/>
  <c r="X141" i="19"/>
  <c r="R141" i="19"/>
  <c r="P141" i="19"/>
  <c r="O141" i="19" s="1"/>
  <c r="W141" i="19" s="1"/>
  <c r="M141" i="19"/>
  <c r="K141" i="19"/>
  <c r="Y141" i="19" s="1"/>
  <c r="G141" i="19"/>
  <c r="F141" i="19" s="1"/>
  <c r="T140" i="19"/>
  <c r="S140" i="19"/>
  <c r="P140" i="19" s="1"/>
  <c r="O140" i="19" s="1"/>
  <c r="Q140" i="19"/>
  <c r="N140" i="19"/>
  <c r="M140" i="19"/>
  <c r="L140" i="19"/>
  <c r="K140" i="19"/>
  <c r="I140" i="19"/>
  <c r="G140" i="19"/>
  <c r="F140" i="19" s="1"/>
  <c r="W140" i="19" s="1"/>
  <c r="E140" i="19"/>
  <c r="B140" i="19"/>
  <c r="P139" i="19"/>
  <c r="M139" i="19"/>
  <c r="K139" i="19"/>
  <c r="G139" i="19"/>
  <c r="F139" i="19" s="1"/>
  <c r="X138" i="19"/>
  <c r="R138" i="19"/>
  <c r="P138" i="19"/>
  <c r="O138" i="19" s="1"/>
  <c r="M138" i="19"/>
  <c r="K138" i="19"/>
  <c r="Y138" i="19" s="1"/>
  <c r="I138" i="19"/>
  <c r="I132" i="19" s="1"/>
  <c r="G138" i="19"/>
  <c r="F138" i="19" s="1"/>
  <c r="X137" i="19"/>
  <c r="R137" i="19"/>
  <c r="P137" i="19"/>
  <c r="O137" i="19"/>
  <c r="M137" i="19"/>
  <c r="K137" i="19"/>
  <c r="Y137" i="19" s="1"/>
  <c r="I137" i="19"/>
  <c r="G137" i="19"/>
  <c r="F137" i="19" s="1"/>
  <c r="W137" i="19" s="1"/>
  <c r="X136" i="19"/>
  <c r="R136" i="19"/>
  <c r="P136" i="19"/>
  <c r="O136" i="19" s="1"/>
  <c r="M136" i="19"/>
  <c r="K136" i="19"/>
  <c r="Y136" i="19" s="1"/>
  <c r="I136" i="19"/>
  <c r="G136" i="19"/>
  <c r="F136" i="19"/>
  <c r="X135" i="19"/>
  <c r="R135" i="19"/>
  <c r="P135" i="19"/>
  <c r="O135" i="19" s="1"/>
  <c r="M135" i="19"/>
  <c r="K135" i="19"/>
  <c r="Y135" i="19" s="1"/>
  <c r="G135" i="19"/>
  <c r="F135" i="19" s="1"/>
  <c r="Y134" i="19"/>
  <c r="X134" i="19"/>
  <c r="R134" i="19"/>
  <c r="P134" i="19"/>
  <c r="O134" i="19"/>
  <c r="M134" i="19"/>
  <c r="K134" i="19"/>
  <c r="I134" i="19"/>
  <c r="G134" i="19"/>
  <c r="F134" i="19" s="1"/>
  <c r="W134" i="19" s="1"/>
  <c r="X133" i="19"/>
  <c r="R133" i="19"/>
  <c r="P133" i="19"/>
  <c r="O133" i="19" s="1"/>
  <c r="M133" i="19"/>
  <c r="K133" i="19"/>
  <c r="Y133" i="19" s="1"/>
  <c r="I133" i="19"/>
  <c r="G133" i="19"/>
  <c r="F133" i="19"/>
  <c r="T132" i="19"/>
  <c r="M132" i="19" s="1"/>
  <c r="S132" i="19"/>
  <c r="N132" i="19"/>
  <c r="L132" i="19"/>
  <c r="G132" i="19" s="1"/>
  <c r="F132" i="19" s="1"/>
  <c r="J132" i="19"/>
  <c r="E132" i="19"/>
  <c r="B132" i="19"/>
  <c r="P131" i="19"/>
  <c r="M131" i="19"/>
  <c r="K131" i="19"/>
  <c r="G131" i="19"/>
  <c r="F131" i="19" s="1"/>
  <c r="X130" i="19"/>
  <c r="R130" i="19"/>
  <c r="P130" i="19"/>
  <c r="O130" i="19"/>
  <c r="M130" i="19"/>
  <c r="K130" i="19"/>
  <c r="Y130" i="19" s="1"/>
  <c r="I130" i="19"/>
  <c r="G130" i="19"/>
  <c r="F130" i="19" s="1"/>
  <c r="W130" i="19" s="1"/>
  <c r="X129" i="19"/>
  <c r="R129" i="19"/>
  <c r="P129" i="19"/>
  <c r="O129" i="19" s="1"/>
  <c r="M129" i="19"/>
  <c r="K129" i="19"/>
  <c r="Y129" i="19" s="1"/>
  <c r="I129" i="19"/>
  <c r="G129" i="19"/>
  <c r="F129" i="19" s="1"/>
  <c r="X128" i="19"/>
  <c r="R128" i="19"/>
  <c r="P128" i="19"/>
  <c r="O128" i="19" s="1"/>
  <c r="M128" i="19"/>
  <c r="K128" i="19"/>
  <c r="Y128" i="19" s="1"/>
  <c r="I128" i="19"/>
  <c r="G128" i="19"/>
  <c r="F128" i="19" s="1"/>
  <c r="X127" i="19"/>
  <c r="R127" i="19"/>
  <c r="P127" i="19"/>
  <c r="O127" i="19"/>
  <c r="M127" i="19"/>
  <c r="K127" i="19"/>
  <c r="Y127" i="19" s="1"/>
  <c r="I127" i="19"/>
  <c r="G127" i="19"/>
  <c r="F127" i="19"/>
  <c r="W127" i="19" s="1"/>
  <c r="X126" i="19"/>
  <c r="T126" i="19"/>
  <c r="M126" i="19" s="1"/>
  <c r="S126" i="19"/>
  <c r="R126" i="19" s="1"/>
  <c r="Q126" i="19"/>
  <c r="P126" i="19"/>
  <c r="O126" i="19" s="1"/>
  <c r="N126" i="19"/>
  <c r="L126" i="19"/>
  <c r="K126" i="19" s="1"/>
  <c r="Y126" i="19" s="1"/>
  <c r="J126" i="19"/>
  <c r="E126" i="19"/>
  <c r="B126" i="19"/>
  <c r="P125" i="19"/>
  <c r="M125" i="19"/>
  <c r="K125" i="19"/>
  <c r="G125" i="19"/>
  <c r="F125" i="19"/>
  <c r="X124" i="19"/>
  <c r="R124" i="19"/>
  <c r="P124" i="19"/>
  <c r="O124" i="19"/>
  <c r="M124" i="19"/>
  <c r="K124" i="19"/>
  <c r="Y124" i="19" s="1"/>
  <c r="G124" i="19"/>
  <c r="F124" i="19" s="1"/>
  <c r="W124" i="19" s="1"/>
  <c r="X123" i="19"/>
  <c r="P123" i="19"/>
  <c r="M123" i="19"/>
  <c r="K123" i="19"/>
  <c r="Y123" i="19" s="1"/>
  <c r="G123" i="19"/>
  <c r="F123" i="19" s="1"/>
  <c r="W123" i="19" s="1"/>
  <c r="X122" i="19"/>
  <c r="R122" i="19"/>
  <c r="P122" i="19"/>
  <c r="O122" i="19" s="1"/>
  <c r="M122" i="19"/>
  <c r="K122" i="19"/>
  <c r="Y122" i="19" s="1"/>
  <c r="G122" i="19"/>
  <c r="F122" i="19" s="1"/>
  <c r="X121" i="19"/>
  <c r="R121" i="19"/>
  <c r="P121" i="19"/>
  <c r="O121" i="19"/>
  <c r="M121" i="19"/>
  <c r="K121" i="19"/>
  <c r="Y121" i="19" s="1"/>
  <c r="I121" i="19"/>
  <c r="G121" i="19"/>
  <c r="F121" i="19" s="1"/>
  <c r="W121" i="19" s="1"/>
  <c r="Y120" i="19"/>
  <c r="X120" i="19"/>
  <c r="R120" i="19"/>
  <c r="P120" i="19"/>
  <c r="O120" i="19"/>
  <c r="M120" i="19"/>
  <c r="K120" i="19"/>
  <c r="G120" i="19"/>
  <c r="F120" i="19"/>
  <c r="W120" i="19" s="1"/>
  <c r="X119" i="19"/>
  <c r="R119" i="19"/>
  <c r="P119" i="19"/>
  <c r="O119" i="19" s="1"/>
  <c r="M119" i="19"/>
  <c r="K119" i="19"/>
  <c r="Y119" i="19" s="1"/>
  <c r="I119" i="19"/>
  <c r="I118" i="19" s="1"/>
  <c r="G119" i="19"/>
  <c r="F119" i="19" s="1"/>
  <c r="W119" i="19" s="1"/>
  <c r="T118" i="19"/>
  <c r="S118" i="19"/>
  <c r="P118" i="19" s="1"/>
  <c r="O118" i="19" s="1"/>
  <c r="R118" i="19"/>
  <c r="Q118" i="19"/>
  <c r="N118" i="19"/>
  <c r="M118" i="19"/>
  <c r="L118" i="19"/>
  <c r="G118" i="19" s="1"/>
  <c r="F118" i="19" s="1"/>
  <c r="W118" i="19" s="1"/>
  <c r="K118" i="19"/>
  <c r="J118" i="19"/>
  <c r="E118" i="19"/>
  <c r="B118" i="19"/>
  <c r="P117" i="19"/>
  <c r="M117" i="19"/>
  <c r="K117" i="19"/>
  <c r="G117" i="19"/>
  <c r="F117" i="19" s="1"/>
  <c r="X116" i="19"/>
  <c r="R116" i="19"/>
  <c r="P116" i="19"/>
  <c r="O116" i="19" s="1"/>
  <c r="M116" i="19"/>
  <c r="K116" i="19"/>
  <c r="Y116" i="19" s="1"/>
  <c r="G116" i="19"/>
  <c r="F116" i="19" s="1"/>
  <c r="W116" i="19" s="1"/>
  <c r="X115" i="19"/>
  <c r="R115" i="19"/>
  <c r="P115" i="19"/>
  <c r="O115" i="19" s="1"/>
  <c r="M115" i="19"/>
  <c r="K115" i="19"/>
  <c r="Y115" i="19" s="1"/>
  <c r="G115" i="19"/>
  <c r="F115" i="19" s="1"/>
  <c r="W115" i="19" s="1"/>
  <c r="X114" i="19"/>
  <c r="R114" i="19"/>
  <c r="P114" i="19"/>
  <c r="O114" i="19" s="1"/>
  <c r="M114" i="19"/>
  <c r="K114" i="19"/>
  <c r="Y114" i="19" s="1"/>
  <c r="G114" i="19"/>
  <c r="F114" i="19" s="1"/>
  <c r="W114" i="19" s="1"/>
  <c r="X113" i="19"/>
  <c r="R113" i="19"/>
  <c r="P113" i="19"/>
  <c r="O113" i="19" s="1"/>
  <c r="M113" i="19"/>
  <c r="K113" i="19"/>
  <c r="Y113" i="19" s="1"/>
  <c r="G113" i="19"/>
  <c r="F113" i="19" s="1"/>
  <c r="W113" i="19" s="1"/>
  <c r="X112" i="19"/>
  <c r="R112" i="19"/>
  <c r="P112" i="19"/>
  <c r="O112" i="19" s="1"/>
  <c r="M112" i="19"/>
  <c r="K112" i="19"/>
  <c r="Y112" i="19" s="1"/>
  <c r="G112" i="19"/>
  <c r="F112" i="19" s="1"/>
  <c r="W112" i="19" s="1"/>
  <c r="X111" i="19"/>
  <c r="R111" i="19"/>
  <c r="P111" i="19"/>
  <c r="O111" i="19" s="1"/>
  <c r="M111" i="19"/>
  <c r="K111" i="19"/>
  <c r="Y111" i="19" s="1"/>
  <c r="G111" i="19"/>
  <c r="F111" i="19" s="1"/>
  <c r="W111" i="19" s="1"/>
  <c r="X110" i="19"/>
  <c r="R110" i="19"/>
  <c r="P110" i="19"/>
  <c r="O110" i="19" s="1"/>
  <c r="M110" i="19"/>
  <c r="K110" i="19"/>
  <c r="Y110" i="19" s="1"/>
  <c r="G110" i="19"/>
  <c r="F110" i="19" s="1"/>
  <c r="X109" i="19"/>
  <c r="R109" i="19"/>
  <c r="P109" i="19"/>
  <c r="O109" i="19" s="1"/>
  <c r="M109" i="19"/>
  <c r="K109" i="19"/>
  <c r="Y109" i="19" s="1"/>
  <c r="G109" i="19"/>
  <c r="F109" i="19" s="1"/>
  <c r="W109" i="19" s="1"/>
  <c r="X108" i="19"/>
  <c r="R108" i="19"/>
  <c r="P108" i="19"/>
  <c r="O108" i="19" s="1"/>
  <c r="M108" i="19"/>
  <c r="K108" i="19"/>
  <c r="Y108" i="19" s="1"/>
  <c r="G108" i="19"/>
  <c r="F108" i="19"/>
  <c r="R107" i="19"/>
  <c r="P107" i="19"/>
  <c r="O107" i="19" s="1"/>
  <c r="M107" i="19"/>
  <c r="L107" i="19"/>
  <c r="K107" i="19"/>
  <c r="Y107" i="19" s="1"/>
  <c r="J107" i="19"/>
  <c r="X107" i="19" s="1"/>
  <c r="I107" i="19"/>
  <c r="H107" i="19"/>
  <c r="G107" i="19"/>
  <c r="F107" i="19" s="1"/>
  <c r="W107" i="19" s="1"/>
  <c r="E107" i="19"/>
  <c r="B107" i="19"/>
  <c r="X106" i="19"/>
  <c r="R106" i="19"/>
  <c r="P106" i="19"/>
  <c r="O106" i="19" s="1"/>
  <c r="M106" i="19"/>
  <c r="K106" i="19"/>
  <c r="Y106" i="19" s="1"/>
  <c r="G106" i="19"/>
  <c r="F106" i="19" s="1"/>
  <c r="W106" i="19" s="1"/>
  <c r="X105" i="19"/>
  <c r="P105" i="19"/>
  <c r="M105" i="19"/>
  <c r="V105" i="19" s="1"/>
  <c r="K105" i="19"/>
  <c r="Y105" i="19" s="1"/>
  <c r="G105" i="19"/>
  <c r="F105" i="19" s="1"/>
  <c r="W105" i="19" s="1"/>
  <c r="X104" i="19"/>
  <c r="W104" i="19"/>
  <c r="R104" i="19"/>
  <c r="P104" i="19"/>
  <c r="O104" i="19" s="1"/>
  <c r="M104" i="19"/>
  <c r="K104" i="19"/>
  <c r="Y104" i="19" s="1"/>
  <c r="G104" i="19"/>
  <c r="F104" i="19" s="1"/>
  <c r="X103" i="19"/>
  <c r="R103" i="19"/>
  <c r="P103" i="19"/>
  <c r="O103" i="19" s="1"/>
  <c r="M103" i="19"/>
  <c r="K103" i="19"/>
  <c r="Y103" i="19" s="1"/>
  <c r="G103" i="19"/>
  <c r="F103" i="19" s="1"/>
  <c r="W103" i="19" s="1"/>
  <c r="X102" i="19"/>
  <c r="R102" i="19"/>
  <c r="P102" i="19"/>
  <c r="O102" i="19" s="1"/>
  <c r="M102" i="19"/>
  <c r="K102" i="19"/>
  <c r="G102" i="19"/>
  <c r="F102" i="19" s="1"/>
  <c r="W102" i="19" s="1"/>
  <c r="X101" i="19"/>
  <c r="R101" i="19"/>
  <c r="P101" i="19"/>
  <c r="O101" i="19" s="1"/>
  <c r="M101" i="19"/>
  <c r="K101" i="19"/>
  <c r="Y101" i="19" s="1"/>
  <c r="G101" i="19"/>
  <c r="F101" i="19" s="1"/>
  <c r="W101" i="19" s="1"/>
  <c r="X100" i="19"/>
  <c r="R100" i="19"/>
  <c r="P100" i="19"/>
  <c r="O100" i="19" s="1"/>
  <c r="M100" i="19"/>
  <c r="K100" i="19"/>
  <c r="G100" i="19"/>
  <c r="F100" i="19" s="1"/>
  <c r="W100" i="19" s="1"/>
  <c r="X99" i="19"/>
  <c r="R99" i="19"/>
  <c r="P99" i="19"/>
  <c r="O99" i="19" s="1"/>
  <c r="M99" i="19"/>
  <c r="K99" i="19"/>
  <c r="Y99" i="19" s="1"/>
  <c r="G99" i="19"/>
  <c r="F99" i="19" s="1"/>
  <c r="W99" i="19" s="1"/>
  <c r="X98" i="19"/>
  <c r="R98" i="19"/>
  <c r="P98" i="19"/>
  <c r="O98" i="19" s="1"/>
  <c r="M98" i="19"/>
  <c r="K98" i="19"/>
  <c r="Y98" i="19" s="1"/>
  <c r="G98" i="19"/>
  <c r="F98" i="19" s="1"/>
  <c r="Y97" i="19"/>
  <c r="X97" i="19"/>
  <c r="R97" i="19"/>
  <c r="P97" i="19"/>
  <c r="O97" i="19"/>
  <c r="M97" i="19"/>
  <c r="K97" i="19"/>
  <c r="G97" i="19"/>
  <c r="F97" i="19"/>
  <c r="W97" i="19" s="1"/>
  <c r="X96" i="19"/>
  <c r="R96" i="19"/>
  <c r="P96" i="19"/>
  <c r="O96" i="19" s="1"/>
  <c r="M96" i="19"/>
  <c r="K96" i="19"/>
  <c r="Y96" i="19" s="1"/>
  <c r="G96" i="19"/>
  <c r="F96" i="19" s="1"/>
  <c r="W96" i="19" s="1"/>
  <c r="T95" i="19"/>
  <c r="R95" i="19"/>
  <c r="P95" i="19"/>
  <c r="O95" i="19" s="1"/>
  <c r="N95" i="19"/>
  <c r="L95" i="19"/>
  <c r="L94" i="19" s="1"/>
  <c r="J95" i="19"/>
  <c r="I95" i="19"/>
  <c r="H95" i="19"/>
  <c r="H94" i="19" s="1"/>
  <c r="E95" i="19"/>
  <c r="E94" i="19" s="1"/>
  <c r="B95" i="19"/>
  <c r="S94" i="19"/>
  <c r="N94" i="19"/>
  <c r="I94" i="19"/>
  <c r="B94" i="19"/>
  <c r="P93" i="19"/>
  <c r="O93" i="19" s="1"/>
  <c r="M93" i="19"/>
  <c r="K93" i="19"/>
  <c r="G93" i="19"/>
  <c r="F93" i="19" s="1"/>
  <c r="X92" i="19"/>
  <c r="R92" i="19"/>
  <c r="P92" i="19"/>
  <c r="O92" i="19" s="1"/>
  <c r="M92" i="19"/>
  <c r="K92" i="19"/>
  <c r="Y92" i="19" s="1"/>
  <c r="G92" i="19"/>
  <c r="F92" i="19"/>
  <c r="X91" i="19"/>
  <c r="R91" i="19"/>
  <c r="P91" i="19"/>
  <c r="O91" i="19" s="1"/>
  <c r="M91" i="19"/>
  <c r="K91" i="19"/>
  <c r="G91" i="19"/>
  <c r="F91" i="19" s="1"/>
  <c r="X90" i="19"/>
  <c r="R90" i="19"/>
  <c r="P90" i="19"/>
  <c r="O90" i="19"/>
  <c r="M90" i="19"/>
  <c r="K90" i="19"/>
  <c r="Y90" i="19" s="1"/>
  <c r="I90" i="19"/>
  <c r="I88" i="19" s="1"/>
  <c r="G90" i="19"/>
  <c r="F90" i="19" s="1"/>
  <c r="W90" i="19" s="1"/>
  <c r="X89" i="19"/>
  <c r="R89" i="19"/>
  <c r="P89" i="19"/>
  <c r="O89" i="19" s="1"/>
  <c r="M89" i="19"/>
  <c r="K89" i="19"/>
  <c r="Y89" i="19" s="1"/>
  <c r="G89" i="19"/>
  <c r="F89" i="19" s="1"/>
  <c r="T88" i="19"/>
  <c r="M88" i="19" s="1"/>
  <c r="S88" i="19"/>
  <c r="Q88" i="19"/>
  <c r="L88" i="19"/>
  <c r="K88" i="19"/>
  <c r="J88" i="19"/>
  <c r="G88" i="19"/>
  <c r="F88" i="19" s="1"/>
  <c r="E88" i="19"/>
  <c r="B88" i="19"/>
  <c r="Y87" i="19"/>
  <c r="X87" i="19"/>
  <c r="R87" i="19"/>
  <c r="P87" i="19"/>
  <c r="O87" i="19"/>
  <c r="M87" i="19"/>
  <c r="K87" i="19"/>
  <c r="G87" i="19"/>
  <c r="F87" i="19"/>
  <c r="W87" i="19" s="1"/>
  <c r="X86" i="19"/>
  <c r="R86" i="19"/>
  <c r="P86" i="19"/>
  <c r="O86" i="19" s="1"/>
  <c r="M86" i="19"/>
  <c r="K86" i="19"/>
  <c r="Y86" i="19" s="1"/>
  <c r="G86" i="19"/>
  <c r="F86" i="19" s="1"/>
  <c r="Y85" i="19"/>
  <c r="X85" i="19"/>
  <c r="R85" i="19"/>
  <c r="P85" i="19"/>
  <c r="O85" i="19"/>
  <c r="M85" i="19"/>
  <c r="K85" i="19"/>
  <c r="G85" i="19"/>
  <c r="F85" i="19"/>
  <c r="W85" i="19" s="1"/>
  <c r="X84" i="19"/>
  <c r="R84" i="19"/>
  <c r="P84" i="19"/>
  <c r="O84" i="19" s="1"/>
  <c r="M84" i="19"/>
  <c r="K84" i="19"/>
  <c r="G84" i="19"/>
  <c r="F84" i="19" s="1"/>
  <c r="W84" i="19" s="1"/>
  <c r="Y83" i="19"/>
  <c r="X83" i="19"/>
  <c r="R83" i="19"/>
  <c r="P83" i="19"/>
  <c r="O83" i="19" s="1"/>
  <c r="M83" i="19"/>
  <c r="K83" i="19"/>
  <c r="G83" i="19"/>
  <c r="F83" i="19" s="1"/>
  <c r="W83" i="19" s="1"/>
  <c r="X82" i="19"/>
  <c r="R82" i="19"/>
  <c r="P82" i="19"/>
  <c r="O82" i="19" s="1"/>
  <c r="M82" i="19"/>
  <c r="K82" i="19"/>
  <c r="G82" i="19"/>
  <c r="F82" i="19" s="1"/>
  <c r="W82" i="19" s="1"/>
  <c r="X81" i="19"/>
  <c r="R81" i="19"/>
  <c r="P81" i="19"/>
  <c r="O81" i="19" s="1"/>
  <c r="M81" i="19"/>
  <c r="K81" i="19"/>
  <c r="Y81" i="19" s="1"/>
  <c r="G81" i="19"/>
  <c r="F81" i="19" s="1"/>
  <c r="W81" i="19" s="1"/>
  <c r="X80" i="19"/>
  <c r="R80" i="19"/>
  <c r="P80" i="19"/>
  <c r="O80" i="19" s="1"/>
  <c r="W80" i="19" s="1"/>
  <c r="M80" i="19"/>
  <c r="K80" i="19"/>
  <c r="Y80" i="19" s="1"/>
  <c r="G80" i="19"/>
  <c r="F80" i="19" s="1"/>
  <c r="X79" i="19"/>
  <c r="R79" i="19"/>
  <c r="P79" i="19"/>
  <c r="O79" i="19"/>
  <c r="M79" i="19"/>
  <c r="K79" i="19"/>
  <c r="Y79" i="19" s="1"/>
  <c r="G79" i="19"/>
  <c r="F79" i="19"/>
  <c r="W79" i="19" s="1"/>
  <c r="X78" i="19"/>
  <c r="W78" i="19"/>
  <c r="R78" i="19"/>
  <c r="P78" i="19"/>
  <c r="O78" i="19" s="1"/>
  <c r="M78" i="19"/>
  <c r="K78" i="19"/>
  <c r="Y78" i="19" s="1"/>
  <c r="I78" i="19"/>
  <c r="G78" i="19"/>
  <c r="F78" i="19" s="1"/>
  <c r="X77" i="19"/>
  <c r="R77" i="19"/>
  <c r="P77" i="19"/>
  <c r="O77" i="19" s="1"/>
  <c r="M77" i="19"/>
  <c r="K77" i="19"/>
  <c r="Y77" i="19" s="1"/>
  <c r="I77" i="19"/>
  <c r="G77" i="19"/>
  <c r="F77" i="19" s="1"/>
  <c r="X76" i="19"/>
  <c r="R76" i="19"/>
  <c r="P76" i="19"/>
  <c r="O76" i="19" s="1"/>
  <c r="M76" i="19"/>
  <c r="K76" i="19"/>
  <c r="Y76" i="19" s="1"/>
  <c r="I76" i="19"/>
  <c r="G76" i="19"/>
  <c r="F76" i="19"/>
  <c r="X75" i="19"/>
  <c r="R75" i="19"/>
  <c r="P75" i="19"/>
  <c r="O75" i="19" s="1"/>
  <c r="M75" i="19"/>
  <c r="L75" i="19"/>
  <c r="L74" i="19" s="1"/>
  <c r="I75" i="19"/>
  <c r="T74" i="19"/>
  <c r="M74" i="19" s="1"/>
  <c r="S74" i="19"/>
  <c r="R74" i="19" s="1"/>
  <c r="Q74" i="19"/>
  <c r="N74" i="19"/>
  <c r="J74" i="19"/>
  <c r="X74" i="19" s="1"/>
  <c r="E74" i="19"/>
  <c r="B74" i="19"/>
  <c r="X73" i="19"/>
  <c r="R73" i="19"/>
  <c r="P73" i="19"/>
  <c r="O73" i="19" s="1"/>
  <c r="M73" i="19"/>
  <c r="K73" i="19"/>
  <c r="I73" i="19"/>
  <c r="I69" i="19" s="1"/>
  <c r="G73" i="19"/>
  <c r="F73" i="19"/>
  <c r="W73" i="19" s="1"/>
  <c r="X72" i="19"/>
  <c r="R72" i="19"/>
  <c r="P72" i="19"/>
  <c r="O72" i="19"/>
  <c r="M72" i="19"/>
  <c r="K72" i="19"/>
  <c r="Y72" i="19" s="1"/>
  <c r="I72" i="19"/>
  <c r="G72" i="19"/>
  <c r="F72" i="19" s="1"/>
  <c r="W72" i="19" s="1"/>
  <c r="Y71" i="19"/>
  <c r="X71" i="19"/>
  <c r="R71" i="19"/>
  <c r="P71" i="19"/>
  <c r="O71" i="19" s="1"/>
  <c r="M71" i="19"/>
  <c r="K71" i="19"/>
  <c r="G71" i="19"/>
  <c r="F71" i="19" s="1"/>
  <c r="W71" i="19" s="1"/>
  <c r="P70" i="19"/>
  <c r="M70" i="19"/>
  <c r="K70" i="19"/>
  <c r="G70" i="19"/>
  <c r="F70" i="19"/>
  <c r="T69" i="19"/>
  <c r="M69" i="19" s="1"/>
  <c r="S69" i="19"/>
  <c r="R69" i="19" s="1"/>
  <c r="Q69" i="19"/>
  <c r="N69" i="19"/>
  <c r="L69" i="19"/>
  <c r="K69" i="19" s="1"/>
  <c r="Y69" i="19" s="1"/>
  <c r="J69" i="19"/>
  <c r="X69" i="19" s="1"/>
  <c r="E69" i="19"/>
  <c r="B69" i="19"/>
  <c r="X68" i="19"/>
  <c r="R68" i="19"/>
  <c r="P68" i="19"/>
  <c r="O68" i="19" s="1"/>
  <c r="M68" i="19"/>
  <c r="K68" i="19"/>
  <c r="Y68" i="19" s="1"/>
  <c r="G68" i="19"/>
  <c r="F68" i="19" s="1"/>
  <c r="W68" i="19" s="1"/>
  <c r="X67" i="19"/>
  <c r="R67" i="19"/>
  <c r="P67" i="19"/>
  <c r="O67" i="19" s="1"/>
  <c r="M67" i="19"/>
  <c r="K67" i="19"/>
  <c r="Y67" i="19" s="1"/>
  <c r="G67" i="19"/>
  <c r="F67" i="19" s="1"/>
  <c r="T66" i="19"/>
  <c r="M66" i="19" s="1"/>
  <c r="S66" i="19"/>
  <c r="N66" i="19"/>
  <c r="L66" i="19"/>
  <c r="K66" i="19"/>
  <c r="J66" i="19"/>
  <c r="I66" i="19"/>
  <c r="G66" i="19"/>
  <c r="F66" i="19"/>
  <c r="E66" i="19"/>
  <c r="B66" i="19"/>
  <c r="X65" i="19"/>
  <c r="R65" i="19"/>
  <c r="P65" i="19"/>
  <c r="O65" i="19" s="1"/>
  <c r="M65" i="19"/>
  <c r="K65" i="19"/>
  <c r="Y65" i="19" s="1"/>
  <c r="G65" i="19"/>
  <c r="F65" i="19" s="1"/>
  <c r="W65" i="19" s="1"/>
  <c r="X64" i="19"/>
  <c r="R64" i="19"/>
  <c r="P64" i="19"/>
  <c r="O64" i="19" s="1"/>
  <c r="M64" i="19"/>
  <c r="K64" i="19"/>
  <c r="G64" i="19"/>
  <c r="F64" i="19" s="1"/>
  <c r="W64" i="19" s="1"/>
  <c r="X63" i="19"/>
  <c r="R63" i="19"/>
  <c r="P63" i="19"/>
  <c r="O63" i="19" s="1"/>
  <c r="M63" i="19"/>
  <c r="K63" i="19"/>
  <c r="G63" i="19"/>
  <c r="F63" i="19" s="1"/>
  <c r="W63" i="19" s="1"/>
  <c r="X62" i="19"/>
  <c r="R62" i="19"/>
  <c r="P62" i="19"/>
  <c r="O62" i="19" s="1"/>
  <c r="M62" i="19"/>
  <c r="K62" i="19"/>
  <c r="G62" i="19"/>
  <c r="F62" i="19" s="1"/>
  <c r="W62" i="19" s="1"/>
  <c r="Y61" i="19"/>
  <c r="X61" i="19"/>
  <c r="R61" i="19"/>
  <c r="P61" i="19"/>
  <c r="O61" i="19" s="1"/>
  <c r="M61" i="19"/>
  <c r="K61" i="19"/>
  <c r="G61" i="19"/>
  <c r="F61" i="19" s="1"/>
  <c r="W61" i="19" s="1"/>
  <c r="X60" i="19"/>
  <c r="R60" i="19"/>
  <c r="P60" i="19"/>
  <c r="O60" i="19" s="1"/>
  <c r="M60" i="19"/>
  <c r="K60" i="19"/>
  <c r="G60" i="19"/>
  <c r="F60" i="19" s="1"/>
  <c r="Y59" i="19"/>
  <c r="X59" i="19"/>
  <c r="R59" i="19"/>
  <c r="P59" i="19"/>
  <c r="O59" i="19"/>
  <c r="M59" i="19"/>
  <c r="K59" i="19"/>
  <c r="G59" i="19"/>
  <c r="F59" i="19"/>
  <c r="W59" i="19" s="1"/>
  <c r="T58" i="19"/>
  <c r="M58" i="19" s="1"/>
  <c r="S58" i="19"/>
  <c r="R58" i="19" s="1"/>
  <c r="Q58" i="19"/>
  <c r="X58" i="19" s="1"/>
  <c r="N58" i="19"/>
  <c r="L58" i="19"/>
  <c r="G58" i="19" s="1"/>
  <c r="F58" i="19" s="1"/>
  <c r="J58" i="19"/>
  <c r="I58" i="19"/>
  <c r="E58" i="19"/>
  <c r="B58" i="19"/>
  <c r="X57" i="19"/>
  <c r="R57" i="19"/>
  <c r="P57" i="19"/>
  <c r="O57" i="19"/>
  <c r="M57" i="19"/>
  <c r="K57" i="19"/>
  <c r="Y57" i="19" s="1"/>
  <c r="G57" i="19"/>
  <c r="F57" i="19"/>
  <c r="W57" i="19" s="1"/>
  <c r="X56" i="19"/>
  <c r="R56" i="19"/>
  <c r="P56" i="19"/>
  <c r="O56" i="19"/>
  <c r="M56" i="19"/>
  <c r="K56" i="19"/>
  <c r="Y56" i="19" s="1"/>
  <c r="G56" i="19"/>
  <c r="F56" i="19"/>
  <c r="W56" i="19" s="1"/>
  <c r="X55" i="19"/>
  <c r="R55" i="19"/>
  <c r="P55" i="19"/>
  <c r="O55" i="19"/>
  <c r="M55" i="19"/>
  <c r="K55" i="19"/>
  <c r="Y55" i="19" s="1"/>
  <c r="G55" i="19"/>
  <c r="F55" i="19"/>
  <c r="W55" i="19" s="1"/>
  <c r="X54" i="19"/>
  <c r="R54" i="19"/>
  <c r="P54" i="19"/>
  <c r="O54" i="19"/>
  <c r="M54" i="19"/>
  <c r="K54" i="19"/>
  <c r="Y54" i="19" s="1"/>
  <c r="G54" i="19"/>
  <c r="F54" i="19"/>
  <c r="W54" i="19" s="1"/>
  <c r="X53" i="19"/>
  <c r="R53" i="19"/>
  <c r="P53" i="19"/>
  <c r="O53" i="19"/>
  <c r="M53" i="19"/>
  <c r="K53" i="19"/>
  <c r="Y53" i="19" s="1"/>
  <c r="G53" i="19"/>
  <c r="F53" i="19"/>
  <c r="W53" i="19" s="1"/>
  <c r="T52" i="19"/>
  <c r="M52" i="19" s="1"/>
  <c r="S52" i="19"/>
  <c r="R52" i="19"/>
  <c r="Q52" i="19"/>
  <c r="P52" i="19"/>
  <c r="O52" i="19" s="1"/>
  <c r="N52" i="19"/>
  <c r="L52" i="19"/>
  <c r="K52" i="19" s="1"/>
  <c r="J52" i="19"/>
  <c r="X52" i="19" s="1"/>
  <c r="I52" i="19"/>
  <c r="G52" i="19"/>
  <c r="F52" i="19" s="1"/>
  <c r="E52" i="19"/>
  <c r="B52" i="19"/>
  <c r="X51" i="19"/>
  <c r="R51" i="19"/>
  <c r="P51" i="19"/>
  <c r="O51" i="19" s="1"/>
  <c r="M51" i="19"/>
  <c r="K51" i="19"/>
  <c r="G51" i="19"/>
  <c r="F51" i="19" s="1"/>
  <c r="X50" i="19"/>
  <c r="R50" i="19"/>
  <c r="P50" i="19"/>
  <c r="O50" i="19" s="1"/>
  <c r="M50" i="19"/>
  <c r="K50" i="19"/>
  <c r="Y50" i="19" s="1"/>
  <c r="G50" i="19"/>
  <c r="F50" i="19" s="1"/>
  <c r="W50" i="19" s="1"/>
  <c r="X49" i="19"/>
  <c r="R49" i="19"/>
  <c r="P49" i="19"/>
  <c r="O49" i="19" s="1"/>
  <c r="W49" i="19" s="1"/>
  <c r="M49" i="19"/>
  <c r="K49" i="19"/>
  <c r="Y49" i="19" s="1"/>
  <c r="G49" i="19"/>
  <c r="F49" i="19" s="1"/>
  <c r="X48" i="19"/>
  <c r="R48" i="19"/>
  <c r="P48" i="19"/>
  <c r="O48" i="19"/>
  <c r="M48" i="19"/>
  <c r="K48" i="19"/>
  <c r="Y48" i="19" s="1"/>
  <c r="G48" i="19"/>
  <c r="F48" i="19"/>
  <c r="W48" i="19" s="1"/>
  <c r="T47" i="19"/>
  <c r="M47" i="19" s="1"/>
  <c r="S47" i="19"/>
  <c r="P47" i="19" s="1"/>
  <c r="O47" i="19" s="1"/>
  <c r="Q47" i="19"/>
  <c r="N47" i="19"/>
  <c r="L47" i="19"/>
  <c r="K47" i="19" s="1"/>
  <c r="J47" i="19"/>
  <c r="X47" i="19" s="1"/>
  <c r="I47" i="19"/>
  <c r="E47" i="19"/>
  <c r="B47" i="19"/>
  <c r="X46" i="19"/>
  <c r="R46" i="19"/>
  <c r="P46" i="19"/>
  <c r="O46" i="19" s="1"/>
  <c r="M46" i="19"/>
  <c r="K46" i="19"/>
  <c r="Y46" i="19" s="1"/>
  <c r="G46" i="19"/>
  <c r="F46" i="19" s="1"/>
  <c r="X45" i="19"/>
  <c r="R45" i="19"/>
  <c r="P45" i="19"/>
  <c r="O45" i="19"/>
  <c r="M45" i="19"/>
  <c r="K45" i="19"/>
  <c r="Y45" i="19" s="1"/>
  <c r="G45" i="19"/>
  <c r="F45" i="19"/>
  <c r="W45" i="19" s="1"/>
  <c r="X44" i="19"/>
  <c r="R44" i="19"/>
  <c r="P44" i="19"/>
  <c r="O44" i="19" s="1"/>
  <c r="N44" i="19"/>
  <c r="M44" i="19"/>
  <c r="K44" i="19"/>
  <c r="Y44" i="19" s="1"/>
  <c r="G44" i="19"/>
  <c r="F44" i="19" s="1"/>
  <c r="W44" i="19" s="1"/>
  <c r="X43" i="19"/>
  <c r="R43" i="19"/>
  <c r="P43" i="19"/>
  <c r="O43" i="19"/>
  <c r="M43" i="19"/>
  <c r="K43" i="19"/>
  <c r="Y43" i="19" s="1"/>
  <c r="G43" i="19"/>
  <c r="F43" i="19"/>
  <c r="W43" i="19" s="1"/>
  <c r="X42" i="19"/>
  <c r="W42" i="19"/>
  <c r="R42" i="19"/>
  <c r="P42" i="19"/>
  <c r="M42" i="19"/>
  <c r="K42" i="19"/>
  <c r="Y42" i="19" s="1"/>
  <c r="G42" i="19"/>
  <c r="F42" i="19"/>
  <c r="X41" i="19"/>
  <c r="R41" i="19"/>
  <c r="P41" i="19"/>
  <c r="O41" i="19" s="1"/>
  <c r="M41" i="19"/>
  <c r="K41" i="19"/>
  <c r="G41" i="19"/>
  <c r="F41" i="19" s="1"/>
  <c r="W41" i="19" s="1"/>
  <c r="X40" i="19"/>
  <c r="R40" i="19"/>
  <c r="P40" i="19"/>
  <c r="O40" i="19"/>
  <c r="M40" i="19"/>
  <c r="K40" i="19"/>
  <c r="Y40" i="19" s="1"/>
  <c r="H40" i="19"/>
  <c r="G40" i="19"/>
  <c r="F40" i="19" s="1"/>
  <c r="W40" i="19" s="1"/>
  <c r="Y39" i="19"/>
  <c r="X39" i="19"/>
  <c r="R39" i="19"/>
  <c r="P39" i="19"/>
  <c r="O39" i="19" s="1"/>
  <c r="M39" i="19"/>
  <c r="K39" i="19"/>
  <c r="G39" i="19"/>
  <c r="F39" i="19" s="1"/>
  <c r="X38" i="19"/>
  <c r="R38" i="19"/>
  <c r="P38" i="19"/>
  <c r="O38" i="19" s="1"/>
  <c r="M38" i="19"/>
  <c r="K38" i="19"/>
  <c r="G38" i="19"/>
  <c r="F38" i="19" s="1"/>
  <c r="T37" i="19"/>
  <c r="S37" i="19"/>
  <c r="P37" i="19" s="1"/>
  <c r="O37" i="19" s="1"/>
  <c r="R37" i="19"/>
  <c r="Q37" i="19"/>
  <c r="M37" i="19"/>
  <c r="L37" i="19"/>
  <c r="J37" i="19"/>
  <c r="I37" i="19"/>
  <c r="H37" i="19"/>
  <c r="H36" i="19" s="1"/>
  <c r="E37" i="19"/>
  <c r="B37" i="19"/>
  <c r="P35" i="19"/>
  <c r="M35" i="19"/>
  <c r="K35" i="19"/>
  <c r="G35" i="19"/>
  <c r="F35" i="19"/>
  <c r="X34" i="19"/>
  <c r="R34" i="19"/>
  <c r="P34" i="19"/>
  <c r="O34" i="19" s="1"/>
  <c r="M34" i="19"/>
  <c r="K34" i="19"/>
  <c r="Y34" i="19" s="1"/>
  <c r="I34" i="19"/>
  <c r="G34" i="19"/>
  <c r="F34" i="19"/>
  <c r="X33" i="19"/>
  <c r="R33" i="19"/>
  <c r="P33" i="19"/>
  <c r="O33" i="19" s="1"/>
  <c r="M33" i="19"/>
  <c r="K33" i="19"/>
  <c r="Y33" i="19" s="1"/>
  <c r="G33" i="19"/>
  <c r="F33" i="19" s="1"/>
  <c r="X32" i="19"/>
  <c r="R32" i="19"/>
  <c r="P32" i="19"/>
  <c r="O32" i="19" s="1"/>
  <c r="M32" i="19"/>
  <c r="K32" i="19"/>
  <c r="Y32" i="19" s="1"/>
  <c r="G32" i="19"/>
  <c r="F32" i="19" s="1"/>
  <c r="W32" i="19" s="1"/>
  <c r="X31" i="19"/>
  <c r="R31" i="19"/>
  <c r="P31" i="19"/>
  <c r="O31" i="19" s="1"/>
  <c r="M31" i="19"/>
  <c r="K31" i="19"/>
  <c r="Y31" i="19" s="1"/>
  <c r="G31" i="19"/>
  <c r="F31" i="19" s="1"/>
  <c r="W31" i="19" s="1"/>
  <c r="X30" i="19"/>
  <c r="P30" i="19"/>
  <c r="M30" i="19"/>
  <c r="K30" i="19"/>
  <c r="Y30" i="19" s="1"/>
  <c r="G30" i="19"/>
  <c r="F30" i="19" s="1"/>
  <c r="W30" i="19" s="1"/>
  <c r="X29" i="19"/>
  <c r="P29" i="19"/>
  <c r="M29" i="19"/>
  <c r="K29" i="19"/>
  <c r="Y29" i="19" s="1"/>
  <c r="G29" i="19"/>
  <c r="F29" i="19" s="1"/>
  <c r="W29" i="19" s="1"/>
  <c r="X28" i="19"/>
  <c r="P28" i="19"/>
  <c r="M28" i="19"/>
  <c r="K28" i="19"/>
  <c r="Y28" i="19" s="1"/>
  <c r="G28" i="19"/>
  <c r="F28" i="19" s="1"/>
  <c r="W28" i="19" s="1"/>
  <c r="X27" i="19"/>
  <c r="P27" i="19"/>
  <c r="M27" i="19"/>
  <c r="K27" i="19"/>
  <c r="Y27" i="19" s="1"/>
  <c r="G27" i="19"/>
  <c r="F27" i="19" s="1"/>
  <c r="W27" i="19" s="1"/>
  <c r="S26" i="19"/>
  <c r="R26" i="19" s="1"/>
  <c r="Q26" i="19"/>
  <c r="P26" i="19"/>
  <c r="O26" i="19" s="1"/>
  <c r="N26" i="19"/>
  <c r="M26" i="19"/>
  <c r="L26" i="19"/>
  <c r="K26" i="19" s="1"/>
  <c r="J26" i="19"/>
  <c r="I26" i="19"/>
  <c r="H26" i="19"/>
  <c r="E26" i="19"/>
  <c r="B26" i="19"/>
  <c r="P25" i="19"/>
  <c r="M25" i="19"/>
  <c r="K25" i="19"/>
  <c r="G25" i="19"/>
  <c r="F25" i="19" s="1"/>
  <c r="C25" i="19"/>
  <c r="P24" i="19"/>
  <c r="M24" i="19"/>
  <c r="K24" i="19"/>
  <c r="G24" i="19"/>
  <c r="F24" i="19" s="1"/>
  <c r="P23" i="19"/>
  <c r="M23" i="19"/>
  <c r="K23" i="19"/>
  <c r="G23" i="19"/>
  <c r="F23" i="19" s="1"/>
  <c r="P22" i="19"/>
  <c r="M22" i="19"/>
  <c r="K22" i="19"/>
  <c r="G22" i="19"/>
  <c r="F22" i="19" s="1"/>
  <c r="P21" i="19"/>
  <c r="M21" i="19"/>
  <c r="K21" i="19"/>
  <c r="G21" i="19"/>
  <c r="F21" i="19" s="1"/>
  <c r="P20" i="19"/>
  <c r="M20" i="19"/>
  <c r="K20" i="19"/>
  <c r="G20" i="19"/>
  <c r="F20" i="19" s="1"/>
  <c r="P19" i="19"/>
  <c r="M19" i="19"/>
  <c r="K19" i="19"/>
  <c r="G19" i="19"/>
  <c r="F19" i="19" s="1"/>
  <c r="P18" i="19"/>
  <c r="M18" i="19"/>
  <c r="K18" i="19"/>
  <c r="G18" i="19"/>
  <c r="F18" i="19" s="1"/>
  <c r="P17" i="19"/>
  <c r="M17" i="19"/>
  <c r="K17" i="19"/>
  <c r="G17" i="19"/>
  <c r="F17" i="19" s="1"/>
  <c r="P16" i="19"/>
  <c r="M16" i="19"/>
  <c r="K16" i="19"/>
  <c r="G16" i="19"/>
  <c r="F16" i="19" s="1"/>
  <c r="P15" i="19"/>
  <c r="M15" i="19"/>
  <c r="K15" i="19"/>
  <c r="G15" i="19"/>
  <c r="F15" i="19" s="1"/>
  <c r="P14" i="19"/>
  <c r="M14" i="19"/>
  <c r="K14" i="19"/>
  <c r="G14" i="19"/>
  <c r="F14" i="19" s="1"/>
  <c r="P13" i="19"/>
  <c r="M13" i="19"/>
  <c r="K13" i="19"/>
  <c r="G13" i="19"/>
  <c r="F13" i="19" s="1"/>
  <c r="P12" i="19"/>
  <c r="M12" i="19"/>
  <c r="I12" i="19"/>
  <c r="G12" i="19"/>
  <c r="R11" i="19"/>
  <c r="Q11" i="19"/>
  <c r="X11" i="19" s="1"/>
  <c r="P11" i="19"/>
  <c r="O11" i="19" s="1"/>
  <c r="M11" i="19"/>
  <c r="L11" i="19"/>
  <c r="I11" i="19"/>
  <c r="H11" i="19"/>
  <c r="H9" i="19" s="1"/>
  <c r="E11" i="19"/>
  <c r="E9" i="19" s="1"/>
  <c r="B11" i="19"/>
  <c r="X10" i="19"/>
  <c r="R10" i="19"/>
  <c r="P10" i="19"/>
  <c r="O10" i="19" s="1"/>
  <c r="M10" i="19"/>
  <c r="K10" i="19"/>
  <c r="Y10" i="19" s="1"/>
  <c r="G10" i="19"/>
  <c r="F10" i="19" s="1"/>
  <c r="T9" i="19"/>
  <c r="M9" i="19" s="1"/>
  <c r="S9" i="19"/>
  <c r="R9" i="19" s="1"/>
  <c r="P9" i="19"/>
  <c r="O9" i="19" s="1"/>
  <c r="N9" i="19"/>
  <c r="J9" i="19"/>
  <c r="I9" i="19"/>
  <c r="B9" i="19"/>
  <c r="C25" i="18"/>
  <c r="G27" i="18"/>
  <c r="F27" i="18" s="1"/>
  <c r="W27" i="18" s="1"/>
  <c r="G28" i="18"/>
  <c r="F28" i="18" s="1"/>
  <c r="W28" i="18" s="1"/>
  <c r="G29" i="18"/>
  <c r="G30" i="18"/>
  <c r="G31" i="18"/>
  <c r="F31" i="18" s="1"/>
  <c r="G32" i="18"/>
  <c r="G33" i="18"/>
  <c r="G34" i="18"/>
  <c r="G35" i="18"/>
  <c r="F35" i="18" s="1"/>
  <c r="G38" i="18"/>
  <c r="G39" i="18"/>
  <c r="F39" i="18" s="1"/>
  <c r="G40" i="18"/>
  <c r="F40" i="18" s="1"/>
  <c r="W40" i="18" s="1"/>
  <c r="G41" i="18"/>
  <c r="G42" i="18"/>
  <c r="G43" i="18"/>
  <c r="F43" i="18" s="1"/>
  <c r="G44" i="18"/>
  <c r="F44" i="18" s="1"/>
  <c r="W44" i="18" s="1"/>
  <c r="G45" i="18"/>
  <c r="G46" i="18"/>
  <c r="G48" i="18"/>
  <c r="G49" i="18"/>
  <c r="F49" i="18" s="1"/>
  <c r="G50" i="18"/>
  <c r="G51" i="18"/>
  <c r="F51" i="18" s="1"/>
  <c r="G53" i="18"/>
  <c r="G54" i="18"/>
  <c r="G55" i="18"/>
  <c r="F55" i="18" s="1"/>
  <c r="G56" i="18"/>
  <c r="F56" i="18" s="1"/>
  <c r="G57" i="18"/>
  <c r="G59" i="18"/>
  <c r="G60" i="18"/>
  <c r="F60" i="18" s="1"/>
  <c r="G61" i="18"/>
  <c r="G62" i="18"/>
  <c r="G63" i="18"/>
  <c r="F63" i="18" s="1"/>
  <c r="G64" i="18"/>
  <c r="F64" i="18" s="1"/>
  <c r="G65" i="18"/>
  <c r="G67" i="18"/>
  <c r="F67" i="18" s="1"/>
  <c r="G68" i="18"/>
  <c r="G70" i="18"/>
  <c r="G71" i="18"/>
  <c r="F71" i="18" s="1"/>
  <c r="G72" i="18"/>
  <c r="G73" i="18"/>
  <c r="G76" i="18"/>
  <c r="G77" i="18"/>
  <c r="G78" i="18"/>
  <c r="G79" i="18"/>
  <c r="G80" i="18"/>
  <c r="F80" i="18" s="1"/>
  <c r="G81" i="18"/>
  <c r="G82" i="18"/>
  <c r="G83" i="18"/>
  <c r="F83" i="18" s="1"/>
  <c r="G84" i="18"/>
  <c r="F84" i="18" s="1"/>
  <c r="G85" i="18"/>
  <c r="G86" i="18"/>
  <c r="G87" i="18"/>
  <c r="G89" i="18"/>
  <c r="G90" i="18"/>
  <c r="G91" i="18"/>
  <c r="F91" i="18" s="1"/>
  <c r="G92" i="18"/>
  <c r="G93" i="18"/>
  <c r="G96" i="18"/>
  <c r="F96" i="18" s="1"/>
  <c r="G97" i="18"/>
  <c r="F97" i="18" s="1"/>
  <c r="G98" i="18"/>
  <c r="G99" i="18"/>
  <c r="G100" i="18"/>
  <c r="G101" i="18"/>
  <c r="F101" i="18" s="1"/>
  <c r="G102" i="18"/>
  <c r="G103" i="18"/>
  <c r="F103" i="18" s="1"/>
  <c r="G104" i="18"/>
  <c r="G105" i="18"/>
  <c r="F105" i="18" s="1"/>
  <c r="W105" i="18" s="1"/>
  <c r="G106" i="18"/>
  <c r="G108" i="18"/>
  <c r="G109" i="18"/>
  <c r="G110" i="18"/>
  <c r="G111" i="18"/>
  <c r="G112" i="18"/>
  <c r="G113" i="18"/>
  <c r="G114" i="18"/>
  <c r="G115" i="18"/>
  <c r="F115" i="18" s="1"/>
  <c r="G116" i="18"/>
  <c r="G117" i="18"/>
  <c r="G119" i="18"/>
  <c r="G120" i="18"/>
  <c r="G121" i="18"/>
  <c r="G122" i="18"/>
  <c r="G123" i="18"/>
  <c r="F123" i="18" s="1"/>
  <c r="W123" i="18" s="1"/>
  <c r="G124" i="18"/>
  <c r="F124" i="18" s="1"/>
  <c r="G125" i="18"/>
  <c r="G127" i="18"/>
  <c r="G128" i="18"/>
  <c r="G129" i="18"/>
  <c r="F129" i="18" s="1"/>
  <c r="G130" i="18"/>
  <c r="G131" i="18"/>
  <c r="F131" i="18" s="1"/>
  <c r="G133" i="18"/>
  <c r="G134" i="18"/>
  <c r="G135" i="18"/>
  <c r="F135" i="18" s="1"/>
  <c r="G136" i="18"/>
  <c r="F136" i="18" s="1"/>
  <c r="G137" i="18"/>
  <c r="F137" i="18" s="1"/>
  <c r="G138" i="18"/>
  <c r="G139" i="18"/>
  <c r="F139" i="18" s="1"/>
  <c r="G141" i="18"/>
  <c r="G142" i="18"/>
  <c r="G144" i="18"/>
  <c r="G10" i="18"/>
  <c r="F10" i="18" s="1"/>
  <c r="G12" i="18"/>
  <c r="G13" i="18"/>
  <c r="G14" i="18"/>
  <c r="F14" i="18" s="1"/>
  <c r="W14" i="18" s="1"/>
  <c r="G15" i="18"/>
  <c r="G16" i="18"/>
  <c r="G17" i="18"/>
  <c r="G18" i="18"/>
  <c r="G19" i="18"/>
  <c r="F19" i="18" s="1"/>
  <c r="W19" i="18" s="1"/>
  <c r="G20" i="18"/>
  <c r="F20" i="18" s="1"/>
  <c r="W20" i="18" s="1"/>
  <c r="G21" i="18"/>
  <c r="G22" i="18"/>
  <c r="F22" i="18" s="1"/>
  <c r="W22" i="18" s="1"/>
  <c r="G23" i="18"/>
  <c r="F23" i="18" s="1"/>
  <c r="W23" i="18" s="1"/>
  <c r="G24" i="18"/>
  <c r="G25" i="18"/>
  <c r="X141" i="18"/>
  <c r="P119" i="18"/>
  <c r="O119" i="18" s="1"/>
  <c r="P120" i="18"/>
  <c r="O120" i="18" s="1"/>
  <c r="P121" i="18"/>
  <c r="P122" i="18"/>
  <c r="P123" i="18"/>
  <c r="P124" i="18"/>
  <c r="O124" i="18" s="1"/>
  <c r="P125" i="18"/>
  <c r="P127" i="18"/>
  <c r="P128" i="18"/>
  <c r="O128" i="18" s="1"/>
  <c r="P129" i="18"/>
  <c r="P130" i="18"/>
  <c r="P131" i="18"/>
  <c r="P133" i="18"/>
  <c r="P134" i="18"/>
  <c r="P135" i="18"/>
  <c r="O135" i="18" s="1"/>
  <c r="P136" i="18"/>
  <c r="O136" i="18" s="1"/>
  <c r="P137" i="18"/>
  <c r="P138" i="18"/>
  <c r="P139" i="18"/>
  <c r="P141" i="18"/>
  <c r="P142" i="18"/>
  <c r="P143" i="18"/>
  <c r="P144" i="18"/>
  <c r="P93" i="18"/>
  <c r="O93" i="18" s="1"/>
  <c r="P95" i="18"/>
  <c r="P96" i="18"/>
  <c r="P97" i="18"/>
  <c r="O97" i="18" s="1"/>
  <c r="P98" i="18"/>
  <c r="O98" i="18" s="1"/>
  <c r="P99" i="18"/>
  <c r="O99" i="18" s="1"/>
  <c r="P100" i="18"/>
  <c r="P101" i="18"/>
  <c r="O101" i="18" s="1"/>
  <c r="P102" i="18"/>
  <c r="P103" i="18"/>
  <c r="P104" i="18"/>
  <c r="P105" i="18"/>
  <c r="P106" i="18"/>
  <c r="O106" i="18" s="1"/>
  <c r="P107" i="18"/>
  <c r="P108" i="18"/>
  <c r="P109" i="18"/>
  <c r="O109" i="18" s="1"/>
  <c r="P110" i="18"/>
  <c r="P111" i="18"/>
  <c r="O111" i="18" s="1"/>
  <c r="P112" i="18"/>
  <c r="P113" i="18"/>
  <c r="O113" i="18" s="1"/>
  <c r="P114" i="18"/>
  <c r="P115" i="18"/>
  <c r="P116" i="18"/>
  <c r="P117" i="18"/>
  <c r="P59" i="18"/>
  <c r="O59" i="18" s="1"/>
  <c r="P60" i="18"/>
  <c r="O60" i="18" s="1"/>
  <c r="P61" i="18"/>
  <c r="P62" i="18"/>
  <c r="P63" i="18"/>
  <c r="O63" i="18" s="1"/>
  <c r="P64" i="18"/>
  <c r="P65" i="18"/>
  <c r="P67" i="18"/>
  <c r="O67" i="18" s="1"/>
  <c r="P68" i="18"/>
  <c r="P70" i="18"/>
  <c r="P71" i="18"/>
  <c r="P72" i="18"/>
  <c r="P73" i="18"/>
  <c r="P75" i="18"/>
  <c r="O75" i="18" s="1"/>
  <c r="P76" i="18"/>
  <c r="O76" i="18" s="1"/>
  <c r="P77" i="18"/>
  <c r="O77" i="18" s="1"/>
  <c r="P78" i="18"/>
  <c r="P79" i="18"/>
  <c r="O79" i="18" s="1"/>
  <c r="P80" i="18"/>
  <c r="O80" i="18" s="1"/>
  <c r="P81" i="18"/>
  <c r="O81" i="18" s="1"/>
  <c r="P82" i="18"/>
  <c r="P83" i="18"/>
  <c r="P84" i="18"/>
  <c r="P85" i="18"/>
  <c r="P86" i="18"/>
  <c r="P87" i="18"/>
  <c r="O87" i="18" s="1"/>
  <c r="P89" i="18"/>
  <c r="O89" i="18" s="1"/>
  <c r="P90" i="18"/>
  <c r="P91" i="18"/>
  <c r="O91" i="18" s="1"/>
  <c r="P92" i="18"/>
  <c r="P29" i="18"/>
  <c r="P30" i="18"/>
  <c r="P31" i="18"/>
  <c r="O31" i="18" s="1"/>
  <c r="P32" i="18"/>
  <c r="P33" i="18"/>
  <c r="P34" i="18"/>
  <c r="P35" i="18"/>
  <c r="P38" i="18"/>
  <c r="P39" i="18"/>
  <c r="P40" i="18"/>
  <c r="P41" i="18"/>
  <c r="O41" i="18" s="1"/>
  <c r="P42" i="18"/>
  <c r="P43" i="18"/>
  <c r="P44" i="18"/>
  <c r="P45" i="18"/>
  <c r="O45" i="18" s="1"/>
  <c r="P46" i="18"/>
  <c r="O46" i="18" s="1"/>
  <c r="P48" i="18"/>
  <c r="P49" i="18"/>
  <c r="O49" i="18" s="1"/>
  <c r="P50" i="18"/>
  <c r="P51" i="18"/>
  <c r="P53" i="18"/>
  <c r="P54" i="18"/>
  <c r="P55" i="18"/>
  <c r="P56" i="18"/>
  <c r="P57" i="18"/>
  <c r="O57" i="18" s="1"/>
  <c r="P10" i="18"/>
  <c r="O10" i="18" s="1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7" i="18"/>
  <c r="P28" i="18"/>
  <c r="O34" i="18"/>
  <c r="O38" i="18"/>
  <c r="O39" i="18"/>
  <c r="O54" i="18"/>
  <c r="O55" i="18"/>
  <c r="O62" i="18"/>
  <c r="O71" i="18"/>
  <c r="O82" i="18"/>
  <c r="O83" i="18"/>
  <c r="O86" i="18"/>
  <c r="O102" i="18"/>
  <c r="O103" i="18"/>
  <c r="O114" i="18"/>
  <c r="O127" i="18"/>
  <c r="O130" i="18"/>
  <c r="O90" i="18"/>
  <c r="F18" i="18"/>
  <c r="W18" i="18" s="1"/>
  <c r="F30" i="18"/>
  <c r="W30" i="18" s="1"/>
  <c r="F32" i="18"/>
  <c r="F34" i="18"/>
  <c r="F38" i="18"/>
  <c r="F42" i="18"/>
  <c r="W42" i="18" s="1"/>
  <c r="F46" i="18"/>
  <c r="F54" i="18"/>
  <c r="F70" i="18"/>
  <c r="F82" i="18"/>
  <c r="F86" i="18"/>
  <c r="F98" i="18"/>
  <c r="F106" i="18"/>
  <c r="F110" i="18"/>
  <c r="F111" i="18"/>
  <c r="F114" i="18"/>
  <c r="F119" i="18"/>
  <c r="F122" i="18"/>
  <c r="F130" i="18"/>
  <c r="F134" i="18"/>
  <c r="F142" i="18"/>
  <c r="M48" i="18"/>
  <c r="M71" i="18"/>
  <c r="M100" i="18"/>
  <c r="B140" i="2"/>
  <c r="B132" i="2"/>
  <c r="B126" i="2"/>
  <c r="B118" i="2"/>
  <c r="B107" i="2"/>
  <c r="B100" i="2"/>
  <c r="B95" i="2" s="1"/>
  <c r="B88" i="2"/>
  <c r="B74" i="2"/>
  <c r="B69" i="2"/>
  <c r="B67" i="2"/>
  <c r="B66" i="2" s="1"/>
  <c r="B58" i="2"/>
  <c r="B52" i="2"/>
  <c r="B47" i="2"/>
  <c r="B37" i="2"/>
  <c r="B26" i="2"/>
  <c r="B11" i="2"/>
  <c r="B9" i="2" s="1"/>
  <c r="I37" i="18"/>
  <c r="H26" i="18"/>
  <c r="H11" i="18"/>
  <c r="H95" i="18"/>
  <c r="H107" i="18"/>
  <c r="I95" i="18"/>
  <c r="H40" i="18"/>
  <c r="H37" i="18" s="1"/>
  <c r="H36" i="18" s="1"/>
  <c r="L148" i="18"/>
  <c r="I148" i="18"/>
  <c r="H148" i="18"/>
  <c r="G148" i="18"/>
  <c r="X144" i="18"/>
  <c r="R144" i="18"/>
  <c r="O144" i="18"/>
  <c r="M144" i="18"/>
  <c r="K144" i="18"/>
  <c r="H144" i="18"/>
  <c r="F144" i="18"/>
  <c r="X143" i="18"/>
  <c r="M143" i="18"/>
  <c r="L143" i="18"/>
  <c r="B143" i="18"/>
  <c r="Y141" i="18"/>
  <c r="R141" i="18"/>
  <c r="O141" i="18"/>
  <c r="K141" i="18"/>
  <c r="F141" i="18"/>
  <c r="S140" i="18"/>
  <c r="P140" i="18" s="1"/>
  <c r="O140" i="18" s="1"/>
  <c r="Q140" i="18"/>
  <c r="X140" i="18" s="1"/>
  <c r="N140" i="18"/>
  <c r="L140" i="18"/>
  <c r="I140" i="18"/>
  <c r="B140" i="18"/>
  <c r="M139" i="18"/>
  <c r="K139" i="18"/>
  <c r="X138" i="18"/>
  <c r="R138" i="18"/>
  <c r="O138" i="18"/>
  <c r="M138" i="18"/>
  <c r="K138" i="18"/>
  <c r="Y138" i="18" s="1"/>
  <c r="I138" i="18"/>
  <c r="I132" i="18" s="1"/>
  <c r="F138" i="18"/>
  <c r="W138" i="18" s="1"/>
  <c r="X137" i="18"/>
  <c r="R137" i="18"/>
  <c r="O137" i="18"/>
  <c r="K137" i="18"/>
  <c r="Y137" i="18" s="1"/>
  <c r="I137" i="18"/>
  <c r="X136" i="18"/>
  <c r="R136" i="18"/>
  <c r="M136" i="18"/>
  <c r="K136" i="18"/>
  <c r="Y136" i="18" s="1"/>
  <c r="I136" i="18"/>
  <c r="X135" i="18"/>
  <c r="R135" i="18"/>
  <c r="M135" i="18"/>
  <c r="K135" i="18"/>
  <c r="X134" i="18"/>
  <c r="R134" i="18"/>
  <c r="O134" i="18"/>
  <c r="M134" i="18"/>
  <c r="K134" i="18"/>
  <c r="I134" i="18"/>
  <c r="Y133" i="18"/>
  <c r="X133" i="18"/>
  <c r="R133" i="18"/>
  <c r="O133" i="18"/>
  <c r="M133" i="18"/>
  <c r="K133" i="18"/>
  <c r="I133" i="18"/>
  <c r="F133" i="18"/>
  <c r="W133" i="18" s="1"/>
  <c r="S132" i="18"/>
  <c r="R132" i="18" s="1"/>
  <c r="N132" i="18"/>
  <c r="L132" i="18"/>
  <c r="G132" i="18" s="1"/>
  <c r="F132" i="18" s="1"/>
  <c r="J132" i="18"/>
  <c r="X132" i="18" s="1"/>
  <c r="E132" i="18"/>
  <c r="B132" i="18"/>
  <c r="M131" i="18"/>
  <c r="K131" i="18"/>
  <c r="X130" i="18"/>
  <c r="R130" i="18"/>
  <c r="M130" i="18"/>
  <c r="K130" i="18"/>
  <c r="Y130" i="18" s="1"/>
  <c r="I130" i="18"/>
  <c r="X129" i="18"/>
  <c r="R129" i="18"/>
  <c r="O129" i="18"/>
  <c r="M129" i="18"/>
  <c r="K129" i="18"/>
  <c r="I129" i="18"/>
  <c r="X128" i="18"/>
  <c r="R128" i="18"/>
  <c r="M128" i="18"/>
  <c r="K128" i="18"/>
  <c r="Y128" i="18" s="1"/>
  <c r="I128" i="18"/>
  <c r="F128" i="18"/>
  <c r="X127" i="18"/>
  <c r="R127" i="18"/>
  <c r="M127" i="18"/>
  <c r="K127" i="18"/>
  <c r="Y127" i="18" s="1"/>
  <c r="I127" i="18"/>
  <c r="F127" i="18"/>
  <c r="M126" i="18"/>
  <c r="S126" i="18"/>
  <c r="P126" i="18" s="1"/>
  <c r="R126" i="18"/>
  <c r="Q126" i="18"/>
  <c r="O126" i="18"/>
  <c r="N126" i="18"/>
  <c r="L126" i="18"/>
  <c r="J126" i="18"/>
  <c r="X126" i="18" s="1"/>
  <c r="B126" i="18"/>
  <c r="M125" i="18"/>
  <c r="K125" i="18"/>
  <c r="F125" i="18"/>
  <c r="X124" i="18"/>
  <c r="R124" i="18"/>
  <c r="M124" i="18"/>
  <c r="K124" i="18"/>
  <c r="Y124" i="18" s="1"/>
  <c r="X123" i="18"/>
  <c r="M123" i="18"/>
  <c r="K123" i="18"/>
  <c r="Y123" i="18" s="1"/>
  <c r="X122" i="18"/>
  <c r="R122" i="18"/>
  <c r="O122" i="18"/>
  <c r="K122" i="18"/>
  <c r="Y122" i="18" s="1"/>
  <c r="X121" i="18"/>
  <c r="R121" i="18"/>
  <c r="O121" i="18"/>
  <c r="M121" i="18"/>
  <c r="K121" i="18"/>
  <c r="Y121" i="18" s="1"/>
  <c r="I121" i="18"/>
  <c r="F121" i="18"/>
  <c r="X120" i="18"/>
  <c r="R120" i="18"/>
  <c r="M120" i="18"/>
  <c r="K120" i="18"/>
  <c r="Y120" i="18" s="1"/>
  <c r="F120" i="18"/>
  <c r="X119" i="18"/>
  <c r="R119" i="18"/>
  <c r="M119" i="18"/>
  <c r="K119" i="18"/>
  <c r="Y119" i="18" s="1"/>
  <c r="I119" i="18"/>
  <c r="I118" i="18" s="1"/>
  <c r="T118" i="18"/>
  <c r="M118" i="18" s="1"/>
  <c r="S118" i="18"/>
  <c r="P118" i="18" s="1"/>
  <c r="O118" i="18" s="1"/>
  <c r="Q118" i="18"/>
  <c r="N118" i="18"/>
  <c r="L118" i="18"/>
  <c r="J118" i="18"/>
  <c r="E118" i="18"/>
  <c r="B118" i="18"/>
  <c r="M117" i="18"/>
  <c r="K117" i="18"/>
  <c r="F117" i="18"/>
  <c r="X116" i="18"/>
  <c r="R116" i="18"/>
  <c r="O116" i="18"/>
  <c r="M116" i="18"/>
  <c r="K116" i="18"/>
  <c r="Y116" i="18" s="1"/>
  <c r="F116" i="18"/>
  <c r="W116" i="18" s="1"/>
  <c r="X115" i="18"/>
  <c r="R115" i="18"/>
  <c r="O115" i="18"/>
  <c r="M115" i="18"/>
  <c r="K115" i="18"/>
  <c r="X114" i="18"/>
  <c r="R114" i="18"/>
  <c r="M114" i="18"/>
  <c r="K114" i="18"/>
  <c r="X113" i="18"/>
  <c r="R113" i="18"/>
  <c r="M113" i="18"/>
  <c r="K113" i="18"/>
  <c r="F113" i="18"/>
  <c r="X112" i="18"/>
  <c r="R112" i="18"/>
  <c r="O112" i="18"/>
  <c r="M112" i="18"/>
  <c r="K112" i="18"/>
  <c r="Y112" i="18" s="1"/>
  <c r="F112" i="18"/>
  <c r="W112" i="18" s="1"/>
  <c r="X111" i="18"/>
  <c r="R111" i="18"/>
  <c r="M111" i="18"/>
  <c r="K111" i="18"/>
  <c r="X110" i="18"/>
  <c r="R110" i="18"/>
  <c r="O110" i="18"/>
  <c r="M110" i="18"/>
  <c r="K110" i="18"/>
  <c r="X109" i="18"/>
  <c r="R109" i="18"/>
  <c r="M109" i="18"/>
  <c r="K109" i="18"/>
  <c r="F109" i="18"/>
  <c r="X108" i="18"/>
  <c r="R108" i="18"/>
  <c r="O108" i="18"/>
  <c r="M108" i="18"/>
  <c r="K108" i="18"/>
  <c r="Y108" i="18" s="1"/>
  <c r="F108" i="18"/>
  <c r="R107" i="18"/>
  <c r="O107" i="18"/>
  <c r="M107" i="18"/>
  <c r="L107" i="18"/>
  <c r="J107" i="18"/>
  <c r="X107" i="18" s="1"/>
  <c r="I107" i="18"/>
  <c r="B107" i="18"/>
  <c r="X106" i="18"/>
  <c r="R106" i="18"/>
  <c r="M106" i="18"/>
  <c r="K106" i="18"/>
  <c r="Y106" i="18" s="1"/>
  <c r="X105" i="18"/>
  <c r="M105" i="18"/>
  <c r="V105" i="18" s="1"/>
  <c r="K105" i="18"/>
  <c r="Y105" i="18" s="1"/>
  <c r="X104" i="18"/>
  <c r="R104" i="18"/>
  <c r="O104" i="18"/>
  <c r="M104" i="18"/>
  <c r="K104" i="18"/>
  <c r="F104" i="18"/>
  <c r="X103" i="18"/>
  <c r="R103" i="18"/>
  <c r="M103" i="18"/>
  <c r="K103" i="18"/>
  <c r="Y103" i="18" s="1"/>
  <c r="X102" i="18"/>
  <c r="R102" i="18"/>
  <c r="M102" i="18"/>
  <c r="K102" i="18"/>
  <c r="Y102" i="18" s="1"/>
  <c r="F102" i="18"/>
  <c r="X101" i="18"/>
  <c r="R101" i="18"/>
  <c r="M101" i="18"/>
  <c r="K101" i="18"/>
  <c r="Y101" i="18" s="1"/>
  <c r="X100" i="18"/>
  <c r="R100" i="18"/>
  <c r="O100" i="18"/>
  <c r="K100" i="18"/>
  <c r="F100" i="18"/>
  <c r="X99" i="18"/>
  <c r="R99" i="18"/>
  <c r="M99" i="18"/>
  <c r="K99" i="18"/>
  <c r="Y99" i="18" s="1"/>
  <c r="F99" i="18"/>
  <c r="X98" i="18"/>
  <c r="R98" i="18"/>
  <c r="M98" i="18"/>
  <c r="K98" i="18"/>
  <c r="Y98" i="18" s="1"/>
  <c r="X97" i="18"/>
  <c r="R97" i="18"/>
  <c r="M97" i="18"/>
  <c r="K97" i="18"/>
  <c r="Y97" i="18" s="1"/>
  <c r="Y96" i="18"/>
  <c r="X96" i="18"/>
  <c r="R96" i="18"/>
  <c r="O96" i="18"/>
  <c r="M96" i="18"/>
  <c r="K96" i="18"/>
  <c r="R95" i="18"/>
  <c r="O95" i="18"/>
  <c r="N95" i="18"/>
  <c r="L95" i="18"/>
  <c r="K95" i="18" s="1"/>
  <c r="Y95" i="18" s="1"/>
  <c r="J95" i="18"/>
  <c r="X95" i="18" s="1"/>
  <c r="I94" i="18"/>
  <c r="B95" i="18"/>
  <c r="B94" i="18" s="1"/>
  <c r="S94" i="18"/>
  <c r="P94" i="18" s="1"/>
  <c r="R94" i="18"/>
  <c r="N94" i="18"/>
  <c r="M93" i="18"/>
  <c r="K93" i="18"/>
  <c r="F93" i="18"/>
  <c r="X92" i="18"/>
  <c r="R92" i="18"/>
  <c r="O92" i="18"/>
  <c r="M92" i="18"/>
  <c r="K92" i="18"/>
  <c r="F92" i="18"/>
  <c r="X91" i="18"/>
  <c r="R91" i="18"/>
  <c r="M91" i="18"/>
  <c r="K91" i="18"/>
  <c r="Y91" i="18" s="1"/>
  <c r="X90" i="18"/>
  <c r="R90" i="18"/>
  <c r="M90" i="18"/>
  <c r="K90" i="18"/>
  <c r="Y90" i="18" s="1"/>
  <c r="I90" i="18"/>
  <c r="I88" i="18" s="1"/>
  <c r="F90" i="18"/>
  <c r="X89" i="18"/>
  <c r="R89" i="18"/>
  <c r="M89" i="18"/>
  <c r="K89" i="18"/>
  <c r="Y89" i="18" s="1"/>
  <c r="F89" i="18"/>
  <c r="T88" i="18"/>
  <c r="M88" i="18" s="1"/>
  <c r="S88" i="18"/>
  <c r="Q88" i="18"/>
  <c r="L88" i="18"/>
  <c r="J88" i="18"/>
  <c r="X88" i="18" s="1"/>
  <c r="B88" i="18"/>
  <c r="X87" i="18"/>
  <c r="R87" i="18"/>
  <c r="M87" i="18"/>
  <c r="K87" i="18"/>
  <c r="Y87" i="18" s="1"/>
  <c r="F87" i="18"/>
  <c r="X86" i="18"/>
  <c r="R86" i="18"/>
  <c r="M86" i="18"/>
  <c r="K86" i="18"/>
  <c r="Y86" i="18" s="1"/>
  <c r="X85" i="18"/>
  <c r="R85" i="18"/>
  <c r="O85" i="18"/>
  <c r="M85" i="18"/>
  <c r="K85" i="18"/>
  <c r="Y85" i="18" s="1"/>
  <c r="F85" i="18"/>
  <c r="X84" i="18"/>
  <c r="R84" i="18"/>
  <c r="O84" i="18"/>
  <c r="M84" i="18"/>
  <c r="K84" i="18"/>
  <c r="Y84" i="18" s="1"/>
  <c r="X83" i="18"/>
  <c r="R83" i="18"/>
  <c r="M83" i="18"/>
  <c r="K83" i="18"/>
  <c r="Y83" i="18" s="1"/>
  <c r="X82" i="18"/>
  <c r="R82" i="18"/>
  <c r="M82" i="18"/>
  <c r="K82" i="18"/>
  <c r="Y82" i="18" s="1"/>
  <c r="X81" i="18"/>
  <c r="R81" i="18"/>
  <c r="M81" i="18"/>
  <c r="K81" i="18"/>
  <c r="Y81" i="18" s="1"/>
  <c r="F81" i="18"/>
  <c r="X80" i="18"/>
  <c r="R80" i="18"/>
  <c r="M80" i="18"/>
  <c r="K80" i="18"/>
  <c r="Y80" i="18" s="1"/>
  <c r="X79" i="18"/>
  <c r="R79" i="18"/>
  <c r="M79" i="18"/>
  <c r="K79" i="18"/>
  <c r="Y79" i="18" s="1"/>
  <c r="F79" i="18"/>
  <c r="X78" i="18"/>
  <c r="R78" i="18"/>
  <c r="O78" i="18"/>
  <c r="M78" i="18"/>
  <c r="K78" i="18"/>
  <c r="Y78" i="18" s="1"/>
  <c r="I78" i="18"/>
  <c r="F78" i="18"/>
  <c r="X77" i="18"/>
  <c r="R77" i="18"/>
  <c r="M77" i="18"/>
  <c r="K77" i="18"/>
  <c r="I77" i="18"/>
  <c r="F77" i="18"/>
  <c r="X76" i="18"/>
  <c r="R76" i="18"/>
  <c r="K76" i="18"/>
  <c r="Y76" i="18" s="1"/>
  <c r="I76" i="18"/>
  <c r="F76" i="18"/>
  <c r="X75" i="18"/>
  <c r="R75" i="18"/>
  <c r="M75" i="18"/>
  <c r="L75" i="18"/>
  <c r="G75" i="18" s="1"/>
  <c r="I75" i="18"/>
  <c r="I74" i="18" s="1"/>
  <c r="T74" i="18"/>
  <c r="M74" i="18" s="1"/>
  <c r="S74" i="18"/>
  <c r="P74" i="18" s="1"/>
  <c r="O74" i="18" s="1"/>
  <c r="Q74" i="18"/>
  <c r="N74" i="18"/>
  <c r="L74" i="18"/>
  <c r="J74" i="18"/>
  <c r="B74" i="18"/>
  <c r="Y73" i="18"/>
  <c r="X73" i="18"/>
  <c r="R73" i="18"/>
  <c r="O73" i="18"/>
  <c r="M73" i="18"/>
  <c r="K73" i="18"/>
  <c r="I73" i="18"/>
  <c r="F73" i="18"/>
  <c r="X72" i="18"/>
  <c r="R72" i="18"/>
  <c r="O72" i="18"/>
  <c r="Y72" i="18"/>
  <c r="I72" i="18"/>
  <c r="I69" i="18" s="1"/>
  <c r="F72" i="18"/>
  <c r="W72" i="18" s="1"/>
  <c r="X71" i="18"/>
  <c r="R71" i="18"/>
  <c r="K71" i="18"/>
  <c r="Y71" i="18" s="1"/>
  <c r="M70" i="18"/>
  <c r="K70" i="18"/>
  <c r="S69" i="18"/>
  <c r="Q69" i="18"/>
  <c r="N69" i="18"/>
  <c r="L69" i="18"/>
  <c r="G69" i="18" s="1"/>
  <c r="F69" i="18" s="1"/>
  <c r="K69" i="18"/>
  <c r="J69" i="18"/>
  <c r="B69" i="18"/>
  <c r="X68" i="18"/>
  <c r="R68" i="18"/>
  <c r="O68" i="18"/>
  <c r="M68" i="18"/>
  <c r="K68" i="18"/>
  <c r="Y68" i="18" s="1"/>
  <c r="F68" i="18"/>
  <c r="X67" i="18"/>
  <c r="R67" i="18"/>
  <c r="M67" i="18"/>
  <c r="K67" i="18"/>
  <c r="T66" i="18"/>
  <c r="M66" i="18" s="1"/>
  <c r="S66" i="18"/>
  <c r="P66" i="18" s="1"/>
  <c r="N66" i="18"/>
  <c r="L66" i="18"/>
  <c r="G66" i="18" s="1"/>
  <c r="F66" i="18" s="1"/>
  <c r="K66" i="18"/>
  <c r="J66" i="18"/>
  <c r="X66" i="18" s="1"/>
  <c r="I66" i="18"/>
  <c r="B66" i="18"/>
  <c r="X65" i="18"/>
  <c r="R65" i="18"/>
  <c r="O65" i="18"/>
  <c r="M65" i="18"/>
  <c r="K65" i="18"/>
  <c r="Y65" i="18" s="1"/>
  <c r="F65" i="18"/>
  <c r="W65" i="18" s="1"/>
  <c r="X64" i="18"/>
  <c r="R64" i="18"/>
  <c r="O64" i="18"/>
  <c r="M64" i="18"/>
  <c r="K64" i="18"/>
  <c r="X63" i="18"/>
  <c r="R63" i="18"/>
  <c r="M63" i="18"/>
  <c r="K63" i="18"/>
  <c r="X62" i="18"/>
  <c r="R62" i="18"/>
  <c r="M62" i="18"/>
  <c r="K62" i="18"/>
  <c r="F62" i="18"/>
  <c r="X61" i="18"/>
  <c r="R61" i="18"/>
  <c r="O61" i="18"/>
  <c r="M61" i="18"/>
  <c r="K61" i="18"/>
  <c r="Y61" i="18" s="1"/>
  <c r="F61" i="18"/>
  <c r="W61" i="18" s="1"/>
  <c r="X60" i="18"/>
  <c r="R60" i="18"/>
  <c r="M60" i="18"/>
  <c r="K60" i="18"/>
  <c r="X59" i="18"/>
  <c r="R59" i="18"/>
  <c r="M59" i="18"/>
  <c r="K59" i="18"/>
  <c r="F59" i="18"/>
  <c r="T58" i="18"/>
  <c r="M58" i="18" s="1"/>
  <c r="S58" i="18"/>
  <c r="P58" i="18" s="1"/>
  <c r="O58" i="18" s="1"/>
  <c r="Q58" i="18"/>
  <c r="N58" i="18"/>
  <c r="L58" i="18"/>
  <c r="J58" i="18"/>
  <c r="X58" i="18" s="1"/>
  <c r="I58" i="18"/>
  <c r="E58" i="18"/>
  <c r="B58" i="18"/>
  <c r="X57" i="18"/>
  <c r="R57" i="18"/>
  <c r="M57" i="18"/>
  <c r="K57" i="18"/>
  <c r="Y57" i="18" s="1"/>
  <c r="F57" i="18"/>
  <c r="X56" i="18"/>
  <c r="R56" i="18"/>
  <c r="O56" i="18"/>
  <c r="M56" i="18"/>
  <c r="K56" i="18"/>
  <c r="Y56" i="18" s="1"/>
  <c r="X55" i="18"/>
  <c r="R55" i="18"/>
  <c r="M55" i="18"/>
  <c r="K55" i="18"/>
  <c r="Y55" i="18" s="1"/>
  <c r="X54" i="18"/>
  <c r="R54" i="18"/>
  <c r="M54" i="18"/>
  <c r="K54" i="18"/>
  <c r="Y54" i="18" s="1"/>
  <c r="X53" i="18"/>
  <c r="R53" i="18"/>
  <c r="O53" i="18"/>
  <c r="M53" i="18"/>
  <c r="S52" i="18"/>
  <c r="P52" i="18" s="1"/>
  <c r="O52" i="18" s="1"/>
  <c r="R52" i="18"/>
  <c r="Q52" i="18"/>
  <c r="N52" i="18"/>
  <c r="J52" i="18"/>
  <c r="X52" i="18" s="1"/>
  <c r="I52" i="18"/>
  <c r="B52" i="18"/>
  <c r="X51" i="18"/>
  <c r="R51" i="18"/>
  <c r="O51" i="18"/>
  <c r="M51" i="18"/>
  <c r="K51" i="18"/>
  <c r="Y51" i="18" s="1"/>
  <c r="X50" i="18"/>
  <c r="R50" i="18"/>
  <c r="Y50" i="18" s="1"/>
  <c r="O50" i="18"/>
  <c r="M50" i="18"/>
  <c r="K50" i="18"/>
  <c r="F50" i="18"/>
  <c r="X49" i="18"/>
  <c r="R49" i="18"/>
  <c r="M49" i="18"/>
  <c r="K49" i="18"/>
  <c r="Y49" i="18" s="1"/>
  <c r="X48" i="18"/>
  <c r="R48" i="18"/>
  <c r="O48" i="18"/>
  <c r="K48" i="18"/>
  <c r="Y48" i="18" s="1"/>
  <c r="F48" i="18"/>
  <c r="S47" i="18"/>
  <c r="Q47" i="18"/>
  <c r="N47" i="18"/>
  <c r="L47" i="18"/>
  <c r="G47" i="18" s="1"/>
  <c r="J47" i="18"/>
  <c r="X47" i="18" s="1"/>
  <c r="I47" i="18"/>
  <c r="F47" i="18"/>
  <c r="B47" i="18"/>
  <c r="X46" i="18"/>
  <c r="R46" i="18"/>
  <c r="M46" i="18"/>
  <c r="K46" i="18"/>
  <c r="X45" i="18"/>
  <c r="R45" i="18"/>
  <c r="M45" i="18"/>
  <c r="K45" i="18"/>
  <c r="F45" i="18"/>
  <c r="X44" i="18"/>
  <c r="R44" i="18"/>
  <c r="O44" i="18"/>
  <c r="N44" i="18"/>
  <c r="M44" i="18"/>
  <c r="K44" i="18"/>
  <c r="X43" i="18"/>
  <c r="R43" i="18"/>
  <c r="O43" i="18"/>
  <c r="M43" i="18"/>
  <c r="K43" i="18"/>
  <c r="X42" i="18"/>
  <c r="R42" i="18"/>
  <c r="M42" i="18"/>
  <c r="K42" i="18"/>
  <c r="X41" i="18"/>
  <c r="R41" i="18"/>
  <c r="M41" i="18"/>
  <c r="K41" i="18"/>
  <c r="Y41" i="18" s="1"/>
  <c r="F41" i="18"/>
  <c r="X40" i="18"/>
  <c r="R40" i="18"/>
  <c r="O40" i="18"/>
  <c r="M40" i="18"/>
  <c r="K40" i="18"/>
  <c r="Y40" i="18" s="1"/>
  <c r="X39" i="18"/>
  <c r="R39" i="18"/>
  <c r="M39" i="18"/>
  <c r="K39" i="18"/>
  <c r="Y39" i="18" s="1"/>
  <c r="X38" i="18"/>
  <c r="R38" i="18"/>
  <c r="M38" i="18"/>
  <c r="K38" i="18"/>
  <c r="Y38" i="18" s="1"/>
  <c r="T37" i="18"/>
  <c r="M37" i="18" s="1"/>
  <c r="S37" i="18"/>
  <c r="P37" i="18" s="1"/>
  <c r="Q37" i="18"/>
  <c r="Q36" i="18" s="1"/>
  <c r="L37" i="18"/>
  <c r="G37" i="18" s="1"/>
  <c r="J37" i="18"/>
  <c r="F37" i="18"/>
  <c r="B37" i="18"/>
  <c r="B36" i="18" s="1"/>
  <c r="X34" i="18"/>
  <c r="R34" i="18"/>
  <c r="M34" i="18"/>
  <c r="K34" i="18"/>
  <c r="I34" i="18"/>
  <c r="X33" i="18"/>
  <c r="R33" i="18"/>
  <c r="O33" i="18"/>
  <c r="M33" i="18"/>
  <c r="K33" i="18"/>
  <c r="F33" i="18"/>
  <c r="X32" i="18"/>
  <c r="R32" i="18"/>
  <c r="O32" i="18"/>
  <c r="M32" i="18"/>
  <c r="K32" i="18"/>
  <c r="Y32" i="18" s="1"/>
  <c r="X31" i="18"/>
  <c r="R31" i="18"/>
  <c r="M31" i="18"/>
  <c r="K31" i="18"/>
  <c r="X30" i="18"/>
  <c r="M30" i="18"/>
  <c r="K30" i="18"/>
  <c r="Y30" i="18" s="1"/>
  <c r="X29" i="18"/>
  <c r="M29" i="18"/>
  <c r="K29" i="18"/>
  <c r="Y29" i="18" s="1"/>
  <c r="F29" i="18"/>
  <c r="W29" i="18" s="1"/>
  <c r="X28" i="18"/>
  <c r="M28" i="18"/>
  <c r="K28" i="18"/>
  <c r="Y28" i="18" s="1"/>
  <c r="X27" i="18"/>
  <c r="M27" i="18"/>
  <c r="K27" i="18"/>
  <c r="Y27" i="18" s="1"/>
  <c r="S26" i="18"/>
  <c r="R26" i="18" s="1"/>
  <c r="Q26" i="18"/>
  <c r="N26" i="18"/>
  <c r="N9" i="18" s="1"/>
  <c r="M26" i="18"/>
  <c r="L26" i="18"/>
  <c r="K26" i="18" s="1"/>
  <c r="Y26" i="18" s="1"/>
  <c r="J26" i="18"/>
  <c r="J9" i="18" s="1"/>
  <c r="I26" i="18"/>
  <c r="B26" i="18"/>
  <c r="M25" i="18"/>
  <c r="K25" i="18"/>
  <c r="F25" i="18"/>
  <c r="W25" i="18" s="1"/>
  <c r="M24" i="18"/>
  <c r="K24" i="18"/>
  <c r="Y24" i="18" s="1"/>
  <c r="F24" i="18"/>
  <c r="W24" i="18" s="1"/>
  <c r="M23" i="18"/>
  <c r="K23" i="18"/>
  <c r="Y23" i="18" s="1"/>
  <c r="M22" i="18"/>
  <c r="K22" i="18"/>
  <c r="Y22" i="18" s="1"/>
  <c r="M21" i="18"/>
  <c r="K21" i="18"/>
  <c r="Y21" i="18" s="1"/>
  <c r="F21" i="18"/>
  <c r="W21" i="18" s="1"/>
  <c r="M20" i="18"/>
  <c r="K20" i="18"/>
  <c r="Y20" i="18" s="1"/>
  <c r="M19" i="18"/>
  <c r="K19" i="18"/>
  <c r="Y19" i="18" s="1"/>
  <c r="M18" i="18"/>
  <c r="K18" i="18"/>
  <c r="Y18" i="18" s="1"/>
  <c r="M17" i="18"/>
  <c r="K17" i="18"/>
  <c r="Y17" i="18" s="1"/>
  <c r="F17" i="18"/>
  <c r="W17" i="18" s="1"/>
  <c r="M16" i="18"/>
  <c r="K16" i="18"/>
  <c r="Y16" i="18" s="1"/>
  <c r="F16" i="18"/>
  <c r="W16" i="18" s="1"/>
  <c r="M15" i="18"/>
  <c r="K15" i="18"/>
  <c r="Y15" i="18" s="1"/>
  <c r="F15" i="18"/>
  <c r="W15" i="18" s="1"/>
  <c r="M14" i="18"/>
  <c r="K14" i="18"/>
  <c r="Y14" i="18" s="1"/>
  <c r="M13" i="18"/>
  <c r="K13" i="18"/>
  <c r="Y13" i="18" s="1"/>
  <c r="F13" i="18"/>
  <c r="W13" i="18" s="1"/>
  <c r="M12" i="18"/>
  <c r="I12" i="18"/>
  <c r="R11" i="18"/>
  <c r="Q11" i="18"/>
  <c r="X11" i="18" s="1"/>
  <c r="O11" i="18"/>
  <c r="M11" i="18"/>
  <c r="L11" i="18"/>
  <c r="I11" i="18"/>
  <c r="I9" i="18" s="1"/>
  <c r="E11" i="18"/>
  <c r="B11" i="18"/>
  <c r="B9" i="18" s="1"/>
  <c r="X10" i="18"/>
  <c r="R10" i="18"/>
  <c r="M10" i="18"/>
  <c r="K10" i="18"/>
  <c r="Y10" i="18" s="1"/>
  <c r="M9" i="18"/>
  <c r="L9" i="18"/>
  <c r="K58" i="18" l="1"/>
  <c r="G58" i="18"/>
  <c r="F58" i="18" s="1"/>
  <c r="R69" i="18"/>
  <c r="Y69" i="18" s="1"/>
  <c r="P69" i="18"/>
  <c r="K88" i="18"/>
  <c r="G88" i="18"/>
  <c r="F88" i="18" s="1"/>
  <c r="G26" i="18"/>
  <c r="F26" i="18" s="1"/>
  <c r="W129" i="18"/>
  <c r="W136" i="19"/>
  <c r="K9" i="18"/>
  <c r="G9" i="18"/>
  <c r="F9" i="18" s="1"/>
  <c r="Q9" i="18"/>
  <c r="B145" i="18"/>
  <c r="B8" i="18" s="1"/>
  <c r="U108" i="18" s="1"/>
  <c r="D108" i="18" s="1"/>
  <c r="C108" i="18" s="1"/>
  <c r="V108" i="18" s="1"/>
  <c r="Y43" i="18"/>
  <c r="N36" i="18"/>
  <c r="K126" i="18"/>
  <c r="Y126" i="18" s="1"/>
  <c r="G126" i="18"/>
  <c r="F126" i="18" s="1"/>
  <c r="W126" i="18" s="1"/>
  <c r="I126" i="18"/>
  <c r="X95" i="19"/>
  <c r="J94" i="19"/>
  <c r="X94" i="19" s="1"/>
  <c r="X37" i="18"/>
  <c r="Y45" i="18"/>
  <c r="Y46" i="18"/>
  <c r="K47" i="18"/>
  <c r="S36" i="18"/>
  <c r="P36" i="18" s="1"/>
  <c r="Y62" i="18"/>
  <c r="Y63" i="18"/>
  <c r="Y64" i="18"/>
  <c r="Y67" i="18"/>
  <c r="R74" i="18"/>
  <c r="Y77" i="18"/>
  <c r="Y92" i="18"/>
  <c r="Y104" i="18"/>
  <c r="Y109" i="18"/>
  <c r="Y110" i="18"/>
  <c r="Y113" i="18"/>
  <c r="Y114" i="18"/>
  <c r="Y115" i="18"/>
  <c r="X118" i="18"/>
  <c r="R118" i="18"/>
  <c r="Y129" i="18"/>
  <c r="Y134" i="18"/>
  <c r="R140" i="18"/>
  <c r="K143" i="18"/>
  <c r="Y143" i="18" s="1"/>
  <c r="G143" i="18"/>
  <c r="F143" i="18" s="1"/>
  <c r="P132" i="18"/>
  <c r="O132" i="18" s="1"/>
  <c r="Y26" i="19"/>
  <c r="W39" i="19"/>
  <c r="G47" i="19"/>
  <c r="F47" i="19" s="1"/>
  <c r="W47" i="19" s="1"/>
  <c r="Y63" i="19"/>
  <c r="W67" i="19"/>
  <c r="W86" i="19"/>
  <c r="W89" i="19"/>
  <c r="M95" i="19"/>
  <c r="T94" i="19"/>
  <c r="M94" i="19" s="1"/>
  <c r="W135" i="19"/>
  <c r="K143" i="19"/>
  <c r="Y143" i="19" s="1"/>
  <c r="G143" i="19"/>
  <c r="F143" i="19" s="1"/>
  <c r="K11" i="18"/>
  <c r="Y11" i="18" s="1"/>
  <c r="G11" i="18"/>
  <c r="F11" i="18" s="1"/>
  <c r="Y33" i="18"/>
  <c r="W104" i="18"/>
  <c r="P26" i="18"/>
  <c r="O26" i="18" s="1"/>
  <c r="S9" i="18"/>
  <c r="Y31" i="18"/>
  <c r="Y34" i="18"/>
  <c r="Y44" i="18"/>
  <c r="R58" i="18"/>
  <c r="Y59" i="18"/>
  <c r="Y60" i="18"/>
  <c r="R66" i="18"/>
  <c r="Y66" i="18" s="1"/>
  <c r="K74" i="18"/>
  <c r="Y74" i="18" s="1"/>
  <c r="G74" i="18"/>
  <c r="F74" i="18" s="1"/>
  <c r="W74" i="18" s="1"/>
  <c r="P88" i="18"/>
  <c r="O88" i="18" s="1"/>
  <c r="W88" i="18" s="1"/>
  <c r="J94" i="18"/>
  <c r="X94" i="18" s="1"/>
  <c r="L94" i="18"/>
  <c r="G94" i="18" s="1"/>
  <c r="F94" i="18" s="1"/>
  <c r="G95" i="18"/>
  <c r="F95" i="18" s="1"/>
  <c r="Y100" i="18"/>
  <c r="K107" i="18"/>
  <c r="Y107" i="18" s="1"/>
  <c r="G107" i="18"/>
  <c r="F107" i="18" s="1"/>
  <c r="Y111" i="18"/>
  <c r="K118" i="18"/>
  <c r="Y118" i="18" s="1"/>
  <c r="G118" i="18"/>
  <c r="F118" i="18" s="1"/>
  <c r="K132" i="18"/>
  <c r="Y132" i="18" s="1"/>
  <c r="Y135" i="18"/>
  <c r="K140" i="18"/>
  <c r="Y140" i="18" s="1"/>
  <c r="G140" i="18"/>
  <c r="P47" i="18"/>
  <c r="O47" i="18" s="1"/>
  <c r="W47" i="18" s="1"/>
  <c r="K11" i="19"/>
  <c r="Y11" i="19" s="1"/>
  <c r="G11" i="19"/>
  <c r="F11" i="19" s="1"/>
  <c r="W11" i="19" s="1"/>
  <c r="W76" i="19"/>
  <c r="W129" i="19"/>
  <c r="W84" i="18"/>
  <c r="W56" i="18"/>
  <c r="Q9" i="19"/>
  <c r="X9" i="19" s="1"/>
  <c r="W10" i="19"/>
  <c r="W34" i="19"/>
  <c r="Q36" i="19"/>
  <c r="W38" i="19"/>
  <c r="Y41" i="19"/>
  <c r="W51" i="19"/>
  <c r="Y52" i="19"/>
  <c r="W60" i="19"/>
  <c r="P69" i="19"/>
  <c r="O69" i="19" s="1"/>
  <c r="P74" i="19"/>
  <c r="O74" i="19" s="1"/>
  <c r="X88" i="19"/>
  <c r="Y91" i="19"/>
  <c r="G95" i="19"/>
  <c r="F95" i="19" s="1"/>
  <c r="W95" i="19" s="1"/>
  <c r="K95" i="19"/>
  <c r="Y95" i="19" s="1"/>
  <c r="W98" i="19"/>
  <c r="Y100" i="19"/>
  <c r="Y102" i="19"/>
  <c r="W122" i="19"/>
  <c r="I126" i="19"/>
  <c r="I145" i="19" s="1"/>
  <c r="K132" i="19"/>
  <c r="R140" i="19"/>
  <c r="Y140" i="19" s="1"/>
  <c r="W144" i="19"/>
  <c r="W52" i="19"/>
  <c r="N36" i="19"/>
  <c r="W77" i="19"/>
  <c r="W92" i="19"/>
  <c r="W133" i="19"/>
  <c r="X26" i="19"/>
  <c r="W46" i="19"/>
  <c r="Y51" i="19"/>
  <c r="J36" i="19"/>
  <c r="J145" i="19" s="1"/>
  <c r="Y73" i="19"/>
  <c r="I74" i="19"/>
  <c r="I36" i="19" s="1"/>
  <c r="Y82" i="19"/>
  <c r="Y84" i="19"/>
  <c r="X118" i="19"/>
  <c r="W128" i="19"/>
  <c r="W138" i="19"/>
  <c r="Y53" i="18"/>
  <c r="E95" i="18"/>
  <c r="E94" i="18" s="1"/>
  <c r="E52" i="18"/>
  <c r="E26" i="18"/>
  <c r="T140" i="18"/>
  <c r="M140" i="18" s="1"/>
  <c r="L52" i="18"/>
  <c r="T132" i="18"/>
  <c r="M132" i="18" s="1"/>
  <c r="E37" i="18"/>
  <c r="W66" i="19"/>
  <c r="K74" i="19"/>
  <c r="Y74" i="19" s="1"/>
  <c r="G74" i="19"/>
  <c r="F74" i="19" s="1"/>
  <c r="W74" i="19" s="1"/>
  <c r="W33" i="19"/>
  <c r="W58" i="19"/>
  <c r="R66" i="19"/>
  <c r="P66" i="19"/>
  <c r="O66" i="19" s="1"/>
  <c r="X132" i="19"/>
  <c r="R132" i="19"/>
  <c r="P132" i="19"/>
  <c r="O132" i="19" s="1"/>
  <c r="W132" i="19" s="1"/>
  <c r="X140" i="19"/>
  <c r="Q145" i="19"/>
  <c r="E36" i="19"/>
  <c r="X37" i="19"/>
  <c r="Y38" i="19"/>
  <c r="B36" i="19"/>
  <c r="B145" i="19" s="1"/>
  <c r="B8" i="19" s="1"/>
  <c r="K58" i="19"/>
  <c r="Y58" i="19" s="1"/>
  <c r="P58" i="19"/>
  <c r="O58" i="19" s="1"/>
  <c r="Y60" i="19"/>
  <c r="Y62" i="19"/>
  <c r="Y64" i="19"/>
  <c r="Y66" i="19"/>
  <c r="Y118" i="19"/>
  <c r="K37" i="19"/>
  <c r="Y37" i="19" s="1"/>
  <c r="G37" i="19"/>
  <c r="F37" i="19" s="1"/>
  <c r="W37" i="19" s="1"/>
  <c r="R88" i="19"/>
  <c r="Y88" i="19" s="1"/>
  <c r="P88" i="19"/>
  <c r="O88" i="19" s="1"/>
  <c r="W88" i="19" s="1"/>
  <c r="R94" i="19"/>
  <c r="P94" i="19"/>
  <c r="O94" i="19" s="1"/>
  <c r="W108" i="19"/>
  <c r="Y132" i="19"/>
  <c r="L9" i="19"/>
  <c r="L36" i="19"/>
  <c r="T36" i="19"/>
  <c r="M36" i="19" s="1"/>
  <c r="X66" i="19"/>
  <c r="G69" i="19"/>
  <c r="F69" i="19" s="1"/>
  <c r="W69" i="19" s="1"/>
  <c r="W91" i="19"/>
  <c r="N145" i="19"/>
  <c r="R47" i="19"/>
  <c r="Y47" i="19" s="1"/>
  <c r="S36" i="19"/>
  <c r="K75" i="19"/>
  <c r="Y75" i="19" s="1"/>
  <c r="G75" i="19"/>
  <c r="F75" i="19" s="1"/>
  <c r="W75" i="19" s="1"/>
  <c r="K94" i="19"/>
  <c r="G94" i="19"/>
  <c r="F94" i="19" s="1"/>
  <c r="W94" i="19" s="1"/>
  <c r="E145" i="19"/>
  <c r="G26" i="19"/>
  <c r="F26" i="19" s="1"/>
  <c r="W26" i="19" s="1"/>
  <c r="H145" i="19"/>
  <c r="W110" i="19"/>
  <c r="G126" i="19"/>
  <c r="F126" i="19" s="1"/>
  <c r="W126" i="19" s="1"/>
  <c r="T145" i="19"/>
  <c r="M145" i="19" s="1"/>
  <c r="W57" i="18"/>
  <c r="W41" i="18"/>
  <c r="W51" i="18"/>
  <c r="X74" i="18"/>
  <c r="X69" i="18"/>
  <c r="X26" i="18"/>
  <c r="X9" i="18"/>
  <c r="W136" i="18"/>
  <c r="W128" i="18"/>
  <c r="W97" i="18"/>
  <c r="W101" i="18"/>
  <c r="W113" i="18"/>
  <c r="W109" i="18"/>
  <c r="W59" i="18"/>
  <c r="W79" i="18"/>
  <c r="W63" i="18"/>
  <c r="W67" i="18"/>
  <c r="W80" i="18"/>
  <c r="W60" i="18"/>
  <c r="W64" i="18"/>
  <c r="W68" i="18"/>
  <c r="W77" i="18"/>
  <c r="W33" i="18"/>
  <c r="W53" i="18"/>
  <c r="W11" i="18"/>
  <c r="W102" i="18"/>
  <c r="W83" i="18"/>
  <c r="O94" i="18"/>
  <c r="W121" i="18"/>
  <c r="W134" i="18"/>
  <c r="W118" i="18"/>
  <c r="W106" i="18"/>
  <c r="W46" i="18"/>
  <c r="W34" i="18"/>
  <c r="W49" i="18"/>
  <c r="W62" i="18"/>
  <c r="W87" i="18"/>
  <c r="W103" i="18"/>
  <c r="W108" i="18"/>
  <c r="W135" i="18"/>
  <c r="W119" i="18"/>
  <c r="W115" i="18"/>
  <c r="W111" i="18"/>
  <c r="W95" i="18"/>
  <c r="W43" i="18"/>
  <c r="W31" i="18"/>
  <c r="W71" i="18"/>
  <c r="W39" i="18"/>
  <c r="W55" i="18"/>
  <c r="W91" i="18"/>
  <c r="W107" i="18"/>
  <c r="W130" i="18"/>
  <c r="W122" i="18"/>
  <c r="W114" i="18"/>
  <c r="W110" i="18"/>
  <c r="W54" i="18"/>
  <c r="W38" i="18"/>
  <c r="W26" i="18"/>
  <c r="W45" i="18"/>
  <c r="W50" i="18"/>
  <c r="O66" i="18"/>
  <c r="W66" i="18" s="1"/>
  <c r="W92" i="18"/>
  <c r="W99" i="18"/>
  <c r="W132" i="18"/>
  <c r="W124" i="18"/>
  <c r="W32" i="18"/>
  <c r="W90" i="18"/>
  <c r="W78" i="18"/>
  <c r="W144" i="18"/>
  <c r="W73" i="18"/>
  <c r="F75" i="18"/>
  <c r="W75" i="18" s="1"/>
  <c r="T47" i="18"/>
  <c r="M47" i="18" s="1"/>
  <c r="T69" i="18"/>
  <c r="M69" i="18" s="1"/>
  <c r="H94" i="18"/>
  <c r="B36" i="2"/>
  <c r="B94" i="2"/>
  <c r="B145" i="2" s="1"/>
  <c r="I36" i="18"/>
  <c r="H9" i="18"/>
  <c r="E9" i="18"/>
  <c r="O36" i="18"/>
  <c r="W10" i="18"/>
  <c r="U125" i="18"/>
  <c r="D125" i="18" s="1"/>
  <c r="U96" i="18"/>
  <c r="D96" i="18" s="1"/>
  <c r="C96" i="18" s="1"/>
  <c r="V96" i="18" s="1"/>
  <c r="U83" i="18"/>
  <c r="D83" i="18" s="1"/>
  <c r="C83" i="18" s="1"/>
  <c r="V83" i="18" s="1"/>
  <c r="U71" i="18"/>
  <c r="D71" i="18" s="1"/>
  <c r="C71" i="18" s="1"/>
  <c r="V71" i="18" s="1"/>
  <c r="U134" i="18"/>
  <c r="D134" i="18" s="1"/>
  <c r="C134" i="18" s="1"/>
  <c r="V134" i="18" s="1"/>
  <c r="U124" i="18"/>
  <c r="D124" i="18" s="1"/>
  <c r="C124" i="18" s="1"/>
  <c r="V124" i="18" s="1"/>
  <c r="U113" i="18"/>
  <c r="D113" i="18" s="1"/>
  <c r="C113" i="18" s="1"/>
  <c r="V113" i="18" s="1"/>
  <c r="U104" i="18"/>
  <c r="D104" i="18" s="1"/>
  <c r="C104" i="18" s="1"/>
  <c r="V104" i="18" s="1"/>
  <c r="U91" i="18"/>
  <c r="D91" i="18" s="1"/>
  <c r="C91" i="18" s="1"/>
  <c r="V91" i="18" s="1"/>
  <c r="U66" i="18"/>
  <c r="D66" i="18" s="1"/>
  <c r="C66" i="18" s="1"/>
  <c r="V66" i="18" s="1"/>
  <c r="U58" i="18"/>
  <c r="D58" i="18" s="1"/>
  <c r="C58" i="18" s="1"/>
  <c r="V58" i="18" s="1"/>
  <c r="U42" i="18"/>
  <c r="D42" i="18" s="1"/>
  <c r="C42" i="18" s="1"/>
  <c r="V42" i="18" s="1"/>
  <c r="U138" i="18"/>
  <c r="D138" i="18" s="1"/>
  <c r="C138" i="18" s="1"/>
  <c r="V138" i="18" s="1"/>
  <c r="U127" i="18"/>
  <c r="D127" i="18" s="1"/>
  <c r="C127" i="18" s="1"/>
  <c r="V127" i="18" s="1"/>
  <c r="U99" i="18"/>
  <c r="D99" i="18" s="1"/>
  <c r="C99" i="18" s="1"/>
  <c r="V99" i="18" s="1"/>
  <c r="U86" i="18"/>
  <c r="D86" i="18" s="1"/>
  <c r="C86" i="18" s="1"/>
  <c r="V86" i="18" s="1"/>
  <c r="U78" i="18"/>
  <c r="D78" i="18" s="1"/>
  <c r="C78" i="18" s="1"/>
  <c r="V78" i="18" s="1"/>
  <c r="U140" i="18"/>
  <c r="U126" i="18"/>
  <c r="D126" i="18" s="1"/>
  <c r="C126" i="18" s="1"/>
  <c r="V126" i="18" s="1"/>
  <c r="U114" i="18"/>
  <c r="D114" i="18" s="1"/>
  <c r="C114" i="18" s="1"/>
  <c r="V114" i="18" s="1"/>
  <c r="U103" i="18"/>
  <c r="D103" i="18" s="1"/>
  <c r="C103" i="18" s="1"/>
  <c r="V103" i="18" s="1"/>
  <c r="U90" i="18"/>
  <c r="D90" i="18" s="1"/>
  <c r="C90" i="18" s="1"/>
  <c r="V90" i="18" s="1"/>
  <c r="U65" i="18"/>
  <c r="D65" i="18" s="1"/>
  <c r="C65" i="18" s="1"/>
  <c r="V65" i="18" s="1"/>
  <c r="U46" i="18"/>
  <c r="D46" i="18" s="1"/>
  <c r="C46" i="18" s="1"/>
  <c r="V46" i="18" s="1"/>
  <c r="U55" i="18"/>
  <c r="D55" i="18" s="1"/>
  <c r="C55" i="18" s="1"/>
  <c r="V55" i="18" s="1"/>
  <c r="U34" i="18"/>
  <c r="D34" i="18" s="1"/>
  <c r="C34" i="18" s="1"/>
  <c r="V34" i="18" s="1"/>
  <c r="U28" i="18"/>
  <c r="D28" i="18" s="1"/>
  <c r="C28" i="18" s="1"/>
  <c r="V28" i="18" s="1"/>
  <c r="U52" i="18"/>
  <c r="D52" i="18" s="1"/>
  <c r="C52" i="18" s="1"/>
  <c r="V52" i="18" s="1"/>
  <c r="U35" i="18"/>
  <c r="D35" i="18" s="1"/>
  <c r="U56" i="18"/>
  <c r="D56" i="18" s="1"/>
  <c r="C56" i="18" s="1"/>
  <c r="V56" i="18" s="1"/>
  <c r="U22" i="18"/>
  <c r="D22" i="18" s="1"/>
  <c r="C22" i="18" s="1"/>
  <c r="V22" i="18" s="1"/>
  <c r="U12" i="18"/>
  <c r="D12" i="18" s="1"/>
  <c r="C12" i="18" s="1"/>
  <c r="V12" i="18" s="1"/>
  <c r="U36" i="18"/>
  <c r="U10" i="18"/>
  <c r="J36" i="18"/>
  <c r="X36" i="18" s="1"/>
  <c r="W58" i="18"/>
  <c r="I145" i="18"/>
  <c r="Q145" i="18"/>
  <c r="R37" i="18"/>
  <c r="O37" i="18"/>
  <c r="W37" i="18" s="1"/>
  <c r="E47" i="18"/>
  <c r="K37" i="18"/>
  <c r="W76" i="18"/>
  <c r="W81" i="18"/>
  <c r="W85" i="18"/>
  <c r="W98" i="18"/>
  <c r="W120" i="18"/>
  <c r="W127" i="18"/>
  <c r="W137" i="18"/>
  <c r="M95" i="18"/>
  <c r="T94" i="18"/>
  <c r="M94" i="18" s="1"/>
  <c r="Y42" i="18"/>
  <c r="W48" i="18"/>
  <c r="W82" i="18"/>
  <c r="W86" i="18"/>
  <c r="W89" i="18"/>
  <c r="N145" i="18"/>
  <c r="W141" i="18"/>
  <c r="R47" i="18"/>
  <c r="Y47" i="18" s="1"/>
  <c r="W96" i="18"/>
  <c r="W100" i="18"/>
  <c r="O69" i="18"/>
  <c r="W69" i="18" s="1"/>
  <c r="K75" i="18"/>
  <c r="Y75" i="18" s="1"/>
  <c r="R88" i="18"/>
  <c r="F140" i="18"/>
  <c r="W140" i="18" s="1"/>
  <c r="E140" i="18"/>
  <c r="U16" i="18" l="1"/>
  <c r="D16" i="18" s="1"/>
  <c r="C16" i="18" s="1"/>
  <c r="V16" i="18" s="1"/>
  <c r="U41" i="18"/>
  <c r="D41" i="18" s="1"/>
  <c r="C41" i="18" s="1"/>
  <c r="V41" i="18" s="1"/>
  <c r="U14" i="18"/>
  <c r="D14" i="18" s="1"/>
  <c r="U19" i="18"/>
  <c r="D19" i="18" s="1"/>
  <c r="C19" i="18" s="1"/>
  <c r="V19" i="18" s="1"/>
  <c r="U26" i="18"/>
  <c r="U30" i="18"/>
  <c r="D30" i="18" s="1"/>
  <c r="C30" i="18" s="1"/>
  <c r="V30" i="18" s="1"/>
  <c r="U43" i="18"/>
  <c r="D43" i="18" s="1"/>
  <c r="C43" i="18" s="1"/>
  <c r="V43" i="18" s="1"/>
  <c r="U72" i="18"/>
  <c r="D72" i="18" s="1"/>
  <c r="C72" i="18" s="1"/>
  <c r="V72" i="18" s="1"/>
  <c r="U93" i="18"/>
  <c r="D93" i="18" s="1"/>
  <c r="U122" i="18"/>
  <c r="D122" i="18" s="1"/>
  <c r="C122" i="18" s="1"/>
  <c r="V122" i="18" s="1"/>
  <c r="U135" i="18"/>
  <c r="D135" i="18" s="1"/>
  <c r="C135" i="18" s="1"/>
  <c r="V135" i="18" s="1"/>
  <c r="U82" i="18"/>
  <c r="D82" i="18" s="1"/>
  <c r="C82" i="18" s="1"/>
  <c r="V82" i="18" s="1"/>
  <c r="U117" i="18"/>
  <c r="D117" i="18" s="1"/>
  <c r="U31" i="18"/>
  <c r="D31" i="18" s="1"/>
  <c r="C31" i="18" s="1"/>
  <c r="V31" i="18" s="1"/>
  <c r="U100" i="18"/>
  <c r="D100" i="18" s="1"/>
  <c r="C100" i="18" s="1"/>
  <c r="V100" i="18" s="1"/>
  <c r="Y88" i="18"/>
  <c r="S145" i="18"/>
  <c r="P145" i="18" s="1"/>
  <c r="U20" i="18"/>
  <c r="D20" i="18" s="1"/>
  <c r="C20" i="18" s="1"/>
  <c r="V20" i="18" s="1"/>
  <c r="U21" i="18"/>
  <c r="D21" i="18" s="1"/>
  <c r="C21" i="18" s="1"/>
  <c r="V21" i="18" s="1"/>
  <c r="U9" i="18"/>
  <c r="U18" i="18"/>
  <c r="D18" i="18" s="1"/>
  <c r="C18" i="18" s="1"/>
  <c r="V18" i="18" s="1"/>
  <c r="U54" i="18"/>
  <c r="D54" i="18" s="1"/>
  <c r="C54" i="18" s="1"/>
  <c r="V54" i="18" s="1"/>
  <c r="U23" i="18"/>
  <c r="D23" i="18" s="1"/>
  <c r="C23" i="18" s="1"/>
  <c r="V23" i="18" s="1"/>
  <c r="U47" i="18"/>
  <c r="U27" i="18"/>
  <c r="D27" i="18" s="1"/>
  <c r="U32" i="18"/>
  <c r="D32" i="18" s="1"/>
  <c r="C32" i="18" s="1"/>
  <c r="V32" i="18" s="1"/>
  <c r="U51" i="18"/>
  <c r="D51" i="18" s="1"/>
  <c r="C51" i="18" s="1"/>
  <c r="V51" i="18" s="1"/>
  <c r="U44" i="18"/>
  <c r="D44" i="18" s="1"/>
  <c r="C44" i="18" s="1"/>
  <c r="V44" i="18" s="1"/>
  <c r="U63" i="18"/>
  <c r="D63" i="18" s="1"/>
  <c r="C63" i="18" s="1"/>
  <c r="V63" i="18" s="1"/>
  <c r="U77" i="18"/>
  <c r="D77" i="18" s="1"/>
  <c r="C77" i="18" s="1"/>
  <c r="V77" i="18" s="1"/>
  <c r="U101" i="18"/>
  <c r="D101" i="18" s="1"/>
  <c r="C101" i="18" s="1"/>
  <c r="V101" i="18" s="1"/>
  <c r="U112" i="18"/>
  <c r="D112" i="18" s="1"/>
  <c r="C112" i="18" s="1"/>
  <c r="V112" i="18" s="1"/>
  <c r="U123" i="18"/>
  <c r="D123" i="18" s="1"/>
  <c r="C123" i="18" s="1"/>
  <c r="V123" i="18" s="1"/>
  <c r="U137" i="18"/>
  <c r="D137" i="18" s="1"/>
  <c r="C137" i="18" s="1"/>
  <c r="V137" i="18" s="1"/>
  <c r="U73" i="18"/>
  <c r="D73" i="18" s="1"/>
  <c r="C73" i="18" s="1"/>
  <c r="V73" i="18" s="1"/>
  <c r="U84" i="18"/>
  <c r="D84" i="18" s="1"/>
  <c r="C84" i="18" s="1"/>
  <c r="V84" i="18" s="1"/>
  <c r="U97" i="18"/>
  <c r="D97" i="18" s="1"/>
  <c r="C97" i="18" s="1"/>
  <c r="V97" i="18" s="1"/>
  <c r="U120" i="18"/>
  <c r="D120" i="18" s="1"/>
  <c r="C120" i="18" s="1"/>
  <c r="V120" i="18" s="1"/>
  <c r="U136" i="18"/>
  <c r="D136" i="18" s="1"/>
  <c r="C136" i="18" s="1"/>
  <c r="V136" i="18" s="1"/>
  <c r="U33" i="18"/>
  <c r="D33" i="18" s="1"/>
  <c r="C33" i="18" s="1"/>
  <c r="V33" i="18" s="1"/>
  <c r="U53" i="18"/>
  <c r="D53" i="18" s="1"/>
  <c r="C53" i="18" s="1"/>
  <c r="V53" i="18" s="1"/>
  <c r="U64" i="18"/>
  <c r="D64" i="18" s="1"/>
  <c r="C64" i="18" s="1"/>
  <c r="V64" i="18" s="1"/>
  <c r="U75" i="18"/>
  <c r="D75" i="18" s="1"/>
  <c r="C75" i="18" s="1"/>
  <c r="V75" i="18" s="1"/>
  <c r="U102" i="18"/>
  <c r="D102" i="18" s="1"/>
  <c r="C102" i="18" s="1"/>
  <c r="V102" i="18" s="1"/>
  <c r="U111" i="18"/>
  <c r="D111" i="18" s="1"/>
  <c r="C111" i="18" s="1"/>
  <c r="V111" i="18" s="1"/>
  <c r="U121" i="18"/>
  <c r="D121" i="18" s="1"/>
  <c r="C121" i="18" s="1"/>
  <c r="V121" i="18" s="1"/>
  <c r="U131" i="18"/>
  <c r="D131" i="18" s="1"/>
  <c r="U70" i="18"/>
  <c r="D70" i="18" s="1"/>
  <c r="C70" i="18" s="1"/>
  <c r="V70" i="18" s="1"/>
  <c r="U81" i="18"/>
  <c r="D81" i="18" s="1"/>
  <c r="C81" i="18" s="1"/>
  <c r="V81" i="18" s="1"/>
  <c r="U89" i="18"/>
  <c r="D89" i="18" s="1"/>
  <c r="C89" i="18" s="1"/>
  <c r="V89" i="18" s="1"/>
  <c r="U119" i="18"/>
  <c r="D119" i="18" s="1"/>
  <c r="C119" i="18" s="1"/>
  <c r="V119" i="18" s="1"/>
  <c r="R36" i="18"/>
  <c r="Y94" i="19"/>
  <c r="X36" i="19"/>
  <c r="U13" i="18"/>
  <c r="D13" i="18" s="1"/>
  <c r="C13" i="18" s="1"/>
  <c r="V13" i="18" s="1"/>
  <c r="U39" i="18"/>
  <c r="D39" i="18" s="1"/>
  <c r="C39" i="18" s="1"/>
  <c r="V39" i="18" s="1"/>
  <c r="U11" i="18"/>
  <c r="U25" i="18"/>
  <c r="U15" i="18"/>
  <c r="D15" i="18" s="1"/>
  <c r="C15" i="18" s="1"/>
  <c r="V15" i="18" s="1"/>
  <c r="U38" i="18"/>
  <c r="D38" i="18" s="1"/>
  <c r="C38" i="18" s="1"/>
  <c r="V38" i="18" s="1"/>
  <c r="U24" i="18"/>
  <c r="D24" i="18" s="1"/>
  <c r="C24" i="18" s="1"/>
  <c r="V24" i="18" s="1"/>
  <c r="U29" i="18"/>
  <c r="U37" i="18"/>
  <c r="U57" i="18"/>
  <c r="D57" i="18" s="1"/>
  <c r="C57" i="18" s="1"/>
  <c r="V57" i="18" s="1"/>
  <c r="U59" i="18"/>
  <c r="D59" i="18" s="1"/>
  <c r="C59" i="18" s="1"/>
  <c r="V59" i="18" s="1"/>
  <c r="U67" i="18"/>
  <c r="D67" i="18" s="1"/>
  <c r="C67" i="18" s="1"/>
  <c r="V67" i="18" s="1"/>
  <c r="U92" i="18"/>
  <c r="D92" i="18" s="1"/>
  <c r="C92" i="18" s="1"/>
  <c r="V92" i="18" s="1"/>
  <c r="U116" i="18"/>
  <c r="D116" i="18" s="1"/>
  <c r="C116" i="18" s="1"/>
  <c r="V116" i="18" s="1"/>
  <c r="U132" i="18"/>
  <c r="D132" i="18" s="1"/>
  <c r="C132" i="18" s="1"/>
  <c r="U141" i="18"/>
  <c r="D141" i="18" s="1"/>
  <c r="C141" i="18" s="1"/>
  <c r="V141" i="18" s="1"/>
  <c r="U80" i="18"/>
  <c r="D80" i="18" s="1"/>
  <c r="C80" i="18" s="1"/>
  <c r="V80" i="18" s="1"/>
  <c r="U88" i="18"/>
  <c r="D88" i="18" s="1"/>
  <c r="C88" i="18" s="1"/>
  <c r="V88" i="18" s="1"/>
  <c r="U106" i="18"/>
  <c r="D106" i="18" s="1"/>
  <c r="C106" i="18" s="1"/>
  <c r="V106" i="18" s="1"/>
  <c r="U130" i="18"/>
  <c r="D130" i="18" s="1"/>
  <c r="C130" i="18" s="1"/>
  <c r="V130" i="18" s="1"/>
  <c r="U142" i="18"/>
  <c r="D142" i="18" s="1"/>
  <c r="U45" i="18"/>
  <c r="D45" i="18" s="1"/>
  <c r="C45" i="18" s="1"/>
  <c r="V45" i="18" s="1"/>
  <c r="U60" i="18"/>
  <c r="D60" i="18" s="1"/>
  <c r="C60" i="18" s="1"/>
  <c r="V60" i="18" s="1"/>
  <c r="U68" i="18"/>
  <c r="D68" i="18" s="1"/>
  <c r="C68" i="18" s="1"/>
  <c r="V68" i="18" s="1"/>
  <c r="U94" i="18"/>
  <c r="U107" i="18"/>
  <c r="D107" i="18" s="1"/>
  <c r="C107" i="18" s="1"/>
  <c r="V107" i="18" s="1"/>
  <c r="U115" i="18"/>
  <c r="D115" i="18" s="1"/>
  <c r="C115" i="18" s="1"/>
  <c r="V115" i="18" s="1"/>
  <c r="U128" i="18"/>
  <c r="D128" i="18" s="1"/>
  <c r="C128" i="18" s="1"/>
  <c r="V128" i="18" s="1"/>
  <c r="U139" i="18"/>
  <c r="D139" i="18" s="1"/>
  <c r="U76" i="18"/>
  <c r="D76" i="18" s="1"/>
  <c r="C76" i="18" s="1"/>
  <c r="V76" i="18" s="1"/>
  <c r="U85" i="18"/>
  <c r="D85" i="18" s="1"/>
  <c r="C85" i="18" s="1"/>
  <c r="V85" i="18" s="1"/>
  <c r="U98" i="18"/>
  <c r="D98" i="18" s="1"/>
  <c r="C98" i="18" s="1"/>
  <c r="V98" i="18" s="1"/>
  <c r="U144" i="18"/>
  <c r="D144" i="18" s="1"/>
  <c r="C144" i="18" s="1"/>
  <c r="V144" i="18" s="1"/>
  <c r="R9" i="18"/>
  <c r="Y9" i="18" s="1"/>
  <c r="P9" i="18"/>
  <c r="O9" i="18" s="1"/>
  <c r="W9" i="18" s="1"/>
  <c r="Y58" i="18"/>
  <c r="K94" i="18"/>
  <c r="Y94" i="18" s="1"/>
  <c r="U17" i="18"/>
  <c r="D17" i="18" s="1"/>
  <c r="C17" i="18" s="1"/>
  <c r="V17" i="18" s="1"/>
  <c r="U50" i="18"/>
  <c r="D50" i="18" s="1"/>
  <c r="C50" i="18" s="1"/>
  <c r="V50" i="18" s="1"/>
  <c r="U40" i="18"/>
  <c r="D40" i="18" s="1"/>
  <c r="C40" i="18" s="1"/>
  <c r="V40" i="18" s="1"/>
  <c r="U49" i="18"/>
  <c r="D49" i="18" s="1"/>
  <c r="C49" i="18" s="1"/>
  <c r="V49" i="18" s="1"/>
  <c r="U61" i="18"/>
  <c r="D61" i="18" s="1"/>
  <c r="C61" i="18" s="1"/>
  <c r="V61" i="18" s="1"/>
  <c r="U110" i="18"/>
  <c r="D110" i="18" s="1"/>
  <c r="C110" i="18" s="1"/>
  <c r="V110" i="18" s="1"/>
  <c r="U143" i="18"/>
  <c r="U95" i="18"/>
  <c r="U133" i="18"/>
  <c r="D133" i="18" s="1"/>
  <c r="C133" i="18" s="1"/>
  <c r="V133" i="18" s="1"/>
  <c r="U48" i="18"/>
  <c r="D48" i="18" s="1"/>
  <c r="C48" i="18" s="1"/>
  <c r="V48" i="18" s="1"/>
  <c r="U62" i="18"/>
  <c r="D62" i="18" s="1"/>
  <c r="C62" i="18" s="1"/>
  <c r="V62" i="18" s="1"/>
  <c r="U74" i="18"/>
  <c r="D74" i="18" s="1"/>
  <c r="C74" i="18" s="1"/>
  <c r="V74" i="18" s="1"/>
  <c r="U109" i="18"/>
  <c r="D109" i="18" s="1"/>
  <c r="C109" i="18" s="1"/>
  <c r="V109" i="18" s="1"/>
  <c r="U118" i="18"/>
  <c r="D118" i="18" s="1"/>
  <c r="C118" i="18" s="1"/>
  <c r="V118" i="18" s="1"/>
  <c r="U129" i="18"/>
  <c r="D129" i="18" s="1"/>
  <c r="C129" i="18" s="1"/>
  <c r="V129" i="18" s="1"/>
  <c r="U69" i="18"/>
  <c r="D69" i="18" s="1"/>
  <c r="C69" i="18" s="1"/>
  <c r="U79" i="18"/>
  <c r="D79" i="18" s="1"/>
  <c r="C79" i="18" s="1"/>
  <c r="V79" i="18" s="1"/>
  <c r="U87" i="18"/>
  <c r="D87" i="18" s="1"/>
  <c r="C87" i="18" s="1"/>
  <c r="V87" i="18" s="1"/>
  <c r="U105" i="18"/>
  <c r="D105" i="18" s="1"/>
  <c r="H145" i="18"/>
  <c r="D95" i="18"/>
  <c r="C95" i="18" s="1"/>
  <c r="V95" i="18" s="1"/>
  <c r="V132" i="18"/>
  <c r="K52" i="18"/>
  <c r="Y52" i="18" s="1"/>
  <c r="G52" i="18"/>
  <c r="F52" i="18" s="1"/>
  <c r="W52" i="18" s="1"/>
  <c r="L36" i="18"/>
  <c r="D37" i="18"/>
  <c r="C37" i="18" s="1"/>
  <c r="V37" i="18" s="1"/>
  <c r="U144" i="19"/>
  <c r="D144" i="19" s="1"/>
  <c r="C144" i="19" s="1"/>
  <c r="V144" i="19" s="1"/>
  <c r="U138" i="19"/>
  <c r="D138" i="19" s="1"/>
  <c r="C138" i="19" s="1"/>
  <c r="V138" i="19" s="1"/>
  <c r="U128" i="19"/>
  <c r="D128" i="19" s="1"/>
  <c r="C128" i="19" s="1"/>
  <c r="V128" i="19" s="1"/>
  <c r="U124" i="19"/>
  <c r="D124" i="19" s="1"/>
  <c r="C124" i="19" s="1"/>
  <c r="V124" i="19" s="1"/>
  <c r="U121" i="19"/>
  <c r="D121" i="19" s="1"/>
  <c r="C121" i="19" s="1"/>
  <c r="V121" i="19" s="1"/>
  <c r="U118" i="19"/>
  <c r="D118" i="19" s="1"/>
  <c r="C118" i="19" s="1"/>
  <c r="V118" i="19" s="1"/>
  <c r="U115" i="19"/>
  <c r="D115" i="19" s="1"/>
  <c r="C115" i="19" s="1"/>
  <c r="V115" i="19" s="1"/>
  <c r="U113" i="19"/>
  <c r="D113" i="19" s="1"/>
  <c r="C113" i="19" s="1"/>
  <c r="V113" i="19" s="1"/>
  <c r="U111" i="19"/>
  <c r="D111" i="19" s="1"/>
  <c r="C111" i="19" s="1"/>
  <c r="V111" i="19" s="1"/>
  <c r="U109" i="19"/>
  <c r="D109" i="19" s="1"/>
  <c r="C109" i="19" s="1"/>
  <c r="V109" i="19" s="1"/>
  <c r="U107" i="19"/>
  <c r="D107" i="19" s="1"/>
  <c r="C107" i="19" s="1"/>
  <c r="V107" i="19" s="1"/>
  <c r="U106" i="19"/>
  <c r="D106" i="19" s="1"/>
  <c r="C106" i="19" s="1"/>
  <c r="V106" i="19" s="1"/>
  <c r="U93" i="19"/>
  <c r="D93" i="19" s="1"/>
  <c r="U92" i="19"/>
  <c r="D92" i="19" s="1"/>
  <c r="C92" i="19" s="1"/>
  <c r="V92" i="19" s="1"/>
  <c r="U90" i="19"/>
  <c r="D90" i="19" s="1"/>
  <c r="C90" i="19" s="1"/>
  <c r="V90" i="19" s="1"/>
  <c r="U77" i="19"/>
  <c r="D77" i="19" s="1"/>
  <c r="C77" i="19" s="1"/>
  <c r="V77" i="19" s="1"/>
  <c r="U72" i="19"/>
  <c r="D72" i="19" s="1"/>
  <c r="C72" i="19" s="1"/>
  <c r="V72" i="19" s="1"/>
  <c r="U57" i="19"/>
  <c r="D57" i="19" s="1"/>
  <c r="C57" i="19" s="1"/>
  <c r="V57" i="19" s="1"/>
  <c r="U55" i="19"/>
  <c r="D55" i="19" s="1"/>
  <c r="C55" i="19" s="1"/>
  <c r="V55" i="19" s="1"/>
  <c r="U53" i="19"/>
  <c r="D53" i="19" s="1"/>
  <c r="C53" i="19" s="1"/>
  <c r="V53" i="19" s="1"/>
  <c r="U46" i="19"/>
  <c r="D46" i="19" s="1"/>
  <c r="C46" i="19" s="1"/>
  <c r="V46" i="19" s="1"/>
  <c r="U44" i="19"/>
  <c r="D44" i="19" s="1"/>
  <c r="C44" i="19" s="1"/>
  <c r="V44" i="19" s="1"/>
  <c r="U40" i="19"/>
  <c r="D40" i="19" s="1"/>
  <c r="C40" i="19" s="1"/>
  <c r="V40" i="19" s="1"/>
  <c r="U33" i="19"/>
  <c r="D33" i="19" s="1"/>
  <c r="C33" i="19" s="1"/>
  <c r="V33" i="19" s="1"/>
  <c r="U31" i="19"/>
  <c r="D31" i="19" s="1"/>
  <c r="C31" i="19" s="1"/>
  <c r="V31" i="19" s="1"/>
  <c r="U142" i="19"/>
  <c r="D142" i="19" s="1"/>
  <c r="U136" i="19"/>
  <c r="D136" i="19" s="1"/>
  <c r="C136" i="19" s="1"/>
  <c r="V136" i="19" s="1"/>
  <c r="U133" i="19"/>
  <c r="D133" i="19" s="1"/>
  <c r="C133" i="19" s="1"/>
  <c r="V133" i="19" s="1"/>
  <c r="U130" i="19"/>
  <c r="D130" i="19" s="1"/>
  <c r="C130" i="19" s="1"/>
  <c r="V130" i="19" s="1"/>
  <c r="U126" i="19"/>
  <c r="D126" i="19" s="1"/>
  <c r="C126" i="19" s="1"/>
  <c r="V126" i="19" s="1"/>
  <c r="U123" i="19"/>
  <c r="D123" i="19" s="1"/>
  <c r="C123" i="19" s="1"/>
  <c r="V123" i="19" s="1"/>
  <c r="U122" i="19"/>
  <c r="D122" i="19" s="1"/>
  <c r="C122" i="19" s="1"/>
  <c r="V122" i="19" s="1"/>
  <c r="U116" i="19"/>
  <c r="D116" i="19" s="1"/>
  <c r="C116" i="19" s="1"/>
  <c r="V116" i="19" s="1"/>
  <c r="U114" i="19"/>
  <c r="D114" i="19" s="1"/>
  <c r="C114" i="19" s="1"/>
  <c r="V114" i="19" s="1"/>
  <c r="U112" i="19"/>
  <c r="D112" i="19" s="1"/>
  <c r="C112" i="19" s="1"/>
  <c r="V112" i="19" s="1"/>
  <c r="U110" i="19"/>
  <c r="D110" i="19" s="1"/>
  <c r="C110" i="19" s="1"/>
  <c r="V110" i="19" s="1"/>
  <c r="U108" i="19"/>
  <c r="D108" i="19" s="1"/>
  <c r="C108" i="19" s="1"/>
  <c r="V108" i="19" s="1"/>
  <c r="U105" i="19"/>
  <c r="D105" i="19" s="1"/>
  <c r="U91" i="19"/>
  <c r="D91" i="19" s="1"/>
  <c r="C91" i="19" s="1"/>
  <c r="V91" i="19" s="1"/>
  <c r="U75" i="19"/>
  <c r="D75" i="19" s="1"/>
  <c r="C75" i="19" s="1"/>
  <c r="V75" i="19" s="1"/>
  <c r="U74" i="19"/>
  <c r="D74" i="19" s="1"/>
  <c r="C74" i="19" s="1"/>
  <c r="V74" i="19" s="1"/>
  <c r="U70" i="19"/>
  <c r="D70" i="19" s="1"/>
  <c r="C70" i="19" s="1"/>
  <c r="V70" i="19" s="1"/>
  <c r="U69" i="19"/>
  <c r="D69" i="19" s="1"/>
  <c r="C69" i="19" s="1"/>
  <c r="V69" i="19" s="1"/>
  <c r="U143" i="19"/>
  <c r="U141" i="19"/>
  <c r="D141" i="19" s="1"/>
  <c r="C141" i="19" s="1"/>
  <c r="V141" i="19" s="1"/>
  <c r="U139" i="19"/>
  <c r="D139" i="19" s="1"/>
  <c r="U135" i="19"/>
  <c r="D135" i="19" s="1"/>
  <c r="C135" i="19" s="1"/>
  <c r="V135" i="19" s="1"/>
  <c r="U132" i="19"/>
  <c r="D132" i="19" s="1"/>
  <c r="C132" i="19" s="1"/>
  <c r="V132" i="19" s="1"/>
  <c r="U129" i="19"/>
  <c r="D129" i="19" s="1"/>
  <c r="C129" i="19" s="1"/>
  <c r="V129" i="19" s="1"/>
  <c r="U125" i="19"/>
  <c r="D125" i="19" s="1"/>
  <c r="U119" i="19"/>
  <c r="D119" i="19" s="1"/>
  <c r="C119" i="19" s="1"/>
  <c r="V119" i="19" s="1"/>
  <c r="U104" i="19"/>
  <c r="D104" i="19" s="1"/>
  <c r="C104" i="19" s="1"/>
  <c r="V104" i="19" s="1"/>
  <c r="U102" i="19"/>
  <c r="D102" i="19" s="1"/>
  <c r="C102" i="19" s="1"/>
  <c r="V102" i="19" s="1"/>
  <c r="U100" i="19"/>
  <c r="D100" i="19" s="1"/>
  <c r="C100" i="19" s="1"/>
  <c r="V100" i="19" s="1"/>
  <c r="U98" i="19"/>
  <c r="D98" i="19" s="1"/>
  <c r="C98" i="19" s="1"/>
  <c r="V98" i="19" s="1"/>
  <c r="U96" i="19"/>
  <c r="D96" i="19" s="1"/>
  <c r="C96" i="19" s="1"/>
  <c r="V96" i="19" s="1"/>
  <c r="U94" i="19"/>
  <c r="D94" i="19" s="1"/>
  <c r="C94" i="19" s="1"/>
  <c r="V94" i="19" s="1"/>
  <c r="U88" i="19"/>
  <c r="D88" i="19" s="1"/>
  <c r="C88" i="19" s="1"/>
  <c r="V88" i="19" s="1"/>
  <c r="U86" i="19"/>
  <c r="D86" i="19" s="1"/>
  <c r="C86" i="19" s="1"/>
  <c r="V86" i="19" s="1"/>
  <c r="U84" i="19"/>
  <c r="D84" i="19" s="1"/>
  <c r="C84" i="19" s="1"/>
  <c r="V84" i="19" s="1"/>
  <c r="U82" i="19"/>
  <c r="D82" i="19" s="1"/>
  <c r="C82" i="19" s="1"/>
  <c r="V82" i="19" s="1"/>
  <c r="U80" i="19"/>
  <c r="D80" i="19" s="1"/>
  <c r="C80" i="19" s="1"/>
  <c r="V80" i="19" s="1"/>
  <c r="U78" i="19"/>
  <c r="D78" i="19" s="1"/>
  <c r="C78" i="19" s="1"/>
  <c r="V78" i="19" s="1"/>
  <c r="U73" i="19"/>
  <c r="D73" i="19" s="1"/>
  <c r="C73" i="19" s="1"/>
  <c r="V73" i="19" s="1"/>
  <c r="U68" i="19"/>
  <c r="D68" i="19" s="1"/>
  <c r="C68" i="19" s="1"/>
  <c r="V68" i="19" s="1"/>
  <c r="U66" i="19"/>
  <c r="D66" i="19" s="1"/>
  <c r="C66" i="19" s="1"/>
  <c r="V66" i="19" s="1"/>
  <c r="U64" i="19"/>
  <c r="D64" i="19" s="1"/>
  <c r="C64" i="19" s="1"/>
  <c r="V64" i="19" s="1"/>
  <c r="U62" i="19"/>
  <c r="D62" i="19" s="1"/>
  <c r="C62" i="19" s="1"/>
  <c r="V62" i="19" s="1"/>
  <c r="U60" i="19"/>
  <c r="D60" i="19" s="1"/>
  <c r="C60" i="19" s="1"/>
  <c r="V60" i="19" s="1"/>
  <c r="U58" i="19"/>
  <c r="D58" i="19" s="1"/>
  <c r="C58" i="19" s="1"/>
  <c r="V58" i="19" s="1"/>
  <c r="U51" i="19"/>
  <c r="D51" i="19" s="1"/>
  <c r="C51" i="19" s="1"/>
  <c r="V51" i="19" s="1"/>
  <c r="U49" i="19"/>
  <c r="D49" i="19" s="1"/>
  <c r="C49" i="19" s="1"/>
  <c r="V49" i="19" s="1"/>
  <c r="U47" i="19"/>
  <c r="D47" i="19" s="1"/>
  <c r="C47" i="19" s="1"/>
  <c r="V47" i="19" s="1"/>
  <c r="U42" i="19"/>
  <c r="D42" i="19" s="1"/>
  <c r="C42" i="19" s="1"/>
  <c r="V42" i="19" s="1"/>
  <c r="U38" i="19"/>
  <c r="D38" i="19" s="1"/>
  <c r="C38" i="19" s="1"/>
  <c r="V38" i="19" s="1"/>
  <c r="U34" i="19"/>
  <c r="D34" i="19" s="1"/>
  <c r="C34" i="19" s="1"/>
  <c r="V34" i="19" s="1"/>
  <c r="U120" i="19"/>
  <c r="D120" i="19" s="1"/>
  <c r="C120" i="19" s="1"/>
  <c r="V120" i="19" s="1"/>
  <c r="U117" i="19"/>
  <c r="D117" i="19" s="1"/>
  <c r="U101" i="19"/>
  <c r="D101" i="19" s="1"/>
  <c r="C101" i="19" s="1"/>
  <c r="V101" i="19" s="1"/>
  <c r="U97" i="19"/>
  <c r="D97" i="19" s="1"/>
  <c r="C97" i="19" s="1"/>
  <c r="V97" i="19" s="1"/>
  <c r="U89" i="19"/>
  <c r="D89" i="19" s="1"/>
  <c r="C89" i="19" s="1"/>
  <c r="V89" i="19" s="1"/>
  <c r="U76" i="19"/>
  <c r="D76" i="19" s="1"/>
  <c r="C76" i="19" s="1"/>
  <c r="V76" i="19" s="1"/>
  <c r="U65" i="19"/>
  <c r="D65" i="19" s="1"/>
  <c r="C65" i="19" s="1"/>
  <c r="V65" i="19" s="1"/>
  <c r="U63" i="19"/>
  <c r="D63" i="19" s="1"/>
  <c r="C63" i="19" s="1"/>
  <c r="V63" i="19" s="1"/>
  <c r="U61" i="19"/>
  <c r="D61" i="19" s="1"/>
  <c r="C61" i="19" s="1"/>
  <c r="V61" i="19" s="1"/>
  <c r="U59" i="19"/>
  <c r="D59" i="19" s="1"/>
  <c r="C59" i="19" s="1"/>
  <c r="V59" i="19" s="1"/>
  <c r="U54" i="19"/>
  <c r="D54" i="19" s="1"/>
  <c r="C54" i="19" s="1"/>
  <c r="V54" i="19" s="1"/>
  <c r="U39" i="19"/>
  <c r="D39" i="19" s="1"/>
  <c r="C39" i="19" s="1"/>
  <c r="V39" i="19" s="1"/>
  <c r="U35" i="19"/>
  <c r="D35" i="19" s="1"/>
  <c r="U11" i="19"/>
  <c r="U10" i="19"/>
  <c r="U137" i="19"/>
  <c r="D137" i="19" s="1"/>
  <c r="C137" i="19" s="1"/>
  <c r="V137" i="19" s="1"/>
  <c r="U134" i="19"/>
  <c r="D134" i="19" s="1"/>
  <c r="C134" i="19" s="1"/>
  <c r="V134" i="19" s="1"/>
  <c r="U85" i="19"/>
  <c r="D85" i="19" s="1"/>
  <c r="C85" i="19" s="1"/>
  <c r="V85" i="19" s="1"/>
  <c r="U48" i="19"/>
  <c r="D48" i="19" s="1"/>
  <c r="C48" i="19" s="1"/>
  <c r="V48" i="19" s="1"/>
  <c r="U32" i="19"/>
  <c r="D32" i="19" s="1"/>
  <c r="C32" i="19" s="1"/>
  <c r="V32" i="19" s="1"/>
  <c r="U19" i="19"/>
  <c r="D19" i="19" s="1"/>
  <c r="C19" i="19" s="1"/>
  <c r="U18" i="19"/>
  <c r="D18" i="19" s="1"/>
  <c r="C18" i="19" s="1"/>
  <c r="U15" i="19"/>
  <c r="D15" i="19" s="1"/>
  <c r="C15" i="19" s="1"/>
  <c r="U13" i="19"/>
  <c r="D13" i="19" s="1"/>
  <c r="C13" i="19" s="1"/>
  <c r="U12" i="19"/>
  <c r="D12" i="19" s="1"/>
  <c r="U131" i="19"/>
  <c r="D131" i="19" s="1"/>
  <c r="U127" i="19"/>
  <c r="D127" i="19" s="1"/>
  <c r="C127" i="19" s="1"/>
  <c r="V127" i="19" s="1"/>
  <c r="U87" i="19"/>
  <c r="D87" i="19" s="1"/>
  <c r="C87" i="19" s="1"/>
  <c r="V87" i="19" s="1"/>
  <c r="U83" i="19"/>
  <c r="D83" i="19" s="1"/>
  <c r="C83" i="19" s="1"/>
  <c r="V83" i="19" s="1"/>
  <c r="U79" i="19"/>
  <c r="D79" i="19" s="1"/>
  <c r="C79" i="19" s="1"/>
  <c r="V79" i="19" s="1"/>
  <c r="U45" i="19"/>
  <c r="D45" i="19" s="1"/>
  <c r="C45" i="19" s="1"/>
  <c r="V45" i="19" s="1"/>
  <c r="U43" i="19"/>
  <c r="D43" i="19" s="1"/>
  <c r="C43" i="19" s="1"/>
  <c r="V43" i="19" s="1"/>
  <c r="U37" i="19"/>
  <c r="D37" i="19" s="1"/>
  <c r="C37" i="19" s="1"/>
  <c r="V37" i="19" s="1"/>
  <c r="U30" i="19"/>
  <c r="D30" i="19" s="1"/>
  <c r="C30" i="19" s="1"/>
  <c r="V30" i="19" s="1"/>
  <c r="U29" i="19"/>
  <c r="D29" i="19" s="1"/>
  <c r="C29" i="19" s="1"/>
  <c r="V29" i="19" s="1"/>
  <c r="U28" i="19"/>
  <c r="D28" i="19" s="1"/>
  <c r="C28" i="19" s="1"/>
  <c r="V28" i="19" s="1"/>
  <c r="U27" i="19"/>
  <c r="D27" i="19" s="1"/>
  <c r="U26" i="19"/>
  <c r="U95" i="19"/>
  <c r="D95" i="19" s="1"/>
  <c r="C95" i="19" s="1"/>
  <c r="V95" i="19" s="1"/>
  <c r="U24" i="19"/>
  <c r="D24" i="19" s="1"/>
  <c r="C24" i="19" s="1"/>
  <c r="U21" i="19"/>
  <c r="D21" i="19" s="1"/>
  <c r="C21" i="19" s="1"/>
  <c r="U20" i="19"/>
  <c r="D20" i="19" s="1"/>
  <c r="C20" i="19" s="1"/>
  <c r="U17" i="19"/>
  <c r="D17" i="19" s="1"/>
  <c r="C17" i="19" s="1"/>
  <c r="U16" i="19"/>
  <c r="D16" i="19" s="1"/>
  <c r="C16" i="19" s="1"/>
  <c r="U14" i="19"/>
  <c r="D14" i="19" s="1"/>
  <c r="C14" i="19" s="1"/>
  <c r="U140" i="19"/>
  <c r="D140" i="19" s="1"/>
  <c r="U103" i="19"/>
  <c r="D103" i="19" s="1"/>
  <c r="C103" i="19" s="1"/>
  <c r="V103" i="19" s="1"/>
  <c r="U99" i="19"/>
  <c r="D99" i="19" s="1"/>
  <c r="C99" i="19" s="1"/>
  <c r="V99" i="19" s="1"/>
  <c r="U67" i="19"/>
  <c r="D67" i="19" s="1"/>
  <c r="C67" i="19" s="1"/>
  <c r="V67" i="19" s="1"/>
  <c r="U56" i="19"/>
  <c r="D56" i="19" s="1"/>
  <c r="C56" i="19" s="1"/>
  <c r="V56" i="19" s="1"/>
  <c r="U52" i="19"/>
  <c r="D52" i="19" s="1"/>
  <c r="C52" i="19" s="1"/>
  <c r="V52" i="19" s="1"/>
  <c r="U41" i="19"/>
  <c r="D41" i="19" s="1"/>
  <c r="C41" i="19" s="1"/>
  <c r="V41" i="19" s="1"/>
  <c r="U36" i="19"/>
  <c r="D36" i="19" s="1"/>
  <c r="C36" i="19" s="1"/>
  <c r="V36" i="19" s="1"/>
  <c r="U25" i="19"/>
  <c r="U9" i="19"/>
  <c r="U81" i="19"/>
  <c r="D81" i="19" s="1"/>
  <c r="C81" i="19" s="1"/>
  <c r="V81" i="19" s="1"/>
  <c r="U71" i="19"/>
  <c r="D71" i="19" s="1"/>
  <c r="C71" i="19" s="1"/>
  <c r="V71" i="19" s="1"/>
  <c r="U50" i="19"/>
  <c r="D50" i="19" s="1"/>
  <c r="C50" i="19" s="1"/>
  <c r="V50" i="19" s="1"/>
  <c r="U23" i="19"/>
  <c r="D23" i="19" s="1"/>
  <c r="C23" i="19" s="1"/>
  <c r="U22" i="19"/>
  <c r="D22" i="19" s="1"/>
  <c r="C22" i="19" s="1"/>
  <c r="K9" i="19"/>
  <c r="Y9" i="19" s="1"/>
  <c r="G9" i="19"/>
  <c r="F9" i="19" s="1"/>
  <c r="W9" i="19" s="1"/>
  <c r="X145" i="19"/>
  <c r="K36" i="19"/>
  <c r="G36" i="19"/>
  <c r="F36" i="19" s="1"/>
  <c r="W36" i="19" s="1"/>
  <c r="R36" i="19"/>
  <c r="P36" i="19"/>
  <c r="O36" i="19" s="1"/>
  <c r="L145" i="19"/>
  <c r="S145" i="19"/>
  <c r="J145" i="18"/>
  <c r="X145" i="18" s="1"/>
  <c r="W94" i="18"/>
  <c r="V69" i="18"/>
  <c r="T36" i="18"/>
  <c r="D94" i="18"/>
  <c r="C94" i="18" s="1"/>
  <c r="V94" i="18" s="1"/>
  <c r="E36" i="18"/>
  <c r="D47" i="18"/>
  <c r="C47" i="18" s="1"/>
  <c r="V47" i="18" s="1"/>
  <c r="D10" i="18"/>
  <c r="D140" i="18"/>
  <c r="R145" i="18"/>
  <c r="O145" i="18"/>
  <c r="C27" i="18"/>
  <c r="V27" i="18" s="1"/>
  <c r="Y37" i="18"/>
  <c r="Q21" i="12"/>
  <c r="B9" i="12"/>
  <c r="I9" i="12"/>
  <c r="J12" i="12"/>
  <c r="J9" i="12"/>
  <c r="X9" i="12" s="1"/>
  <c r="S9" i="12"/>
  <c r="R9" i="12" s="1"/>
  <c r="T9" i="12"/>
  <c r="G10" i="12"/>
  <c r="H10" i="12"/>
  <c r="K10" i="12"/>
  <c r="M10" i="12"/>
  <c r="P10" i="12"/>
  <c r="R10" i="12"/>
  <c r="X10" i="12"/>
  <c r="F11" i="12"/>
  <c r="G11" i="12"/>
  <c r="H11" i="12"/>
  <c r="K11" i="12"/>
  <c r="Y11" i="12" s="1"/>
  <c r="M11" i="12"/>
  <c r="P11" i="12"/>
  <c r="R11" i="12"/>
  <c r="X11" i="12"/>
  <c r="G12" i="12"/>
  <c r="L12" i="12"/>
  <c r="N12" i="12"/>
  <c r="N9" i="12" s="1"/>
  <c r="M9" i="12" s="1"/>
  <c r="M12" i="12"/>
  <c r="P12" i="12"/>
  <c r="O12" i="12" s="1"/>
  <c r="R12" i="12"/>
  <c r="X12" i="12"/>
  <c r="E13" i="12"/>
  <c r="E12" i="12" s="1"/>
  <c r="E9" i="12" s="1"/>
  <c r="G13" i="12"/>
  <c r="H13" i="12"/>
  <c r="K13" i="12"/>
  <c r="Y13" i="12" s="1"/>
  <c r="M13" i="12"/>
  <c r="P13" i="12"/>
  <c r="O13" i="12"/>
  <c r="R13" i="12"/>
  <c r="X13" i="12"/>
  <c r="E14" i="12"/>
  <c r="G14" i="12"/>
  <c r="H14" i="12"/>
  <c r="F14" i="12" s="1"/>
  <c r="W14" i="12" s="1"/>
  <c r="K14" i="12"/>
  <c r="Y14" i="12" s="1"/>
  <c r="M14" i="12"/>
  <c r="P14" i="12"/>
  <c r="O14" i="12"/>
  <c r="R14" i="12"/>
  <c r="X14" i="12"/>
  <c r="G15" i="12"/>
  <c r="H15" i="12"/>
  <c r="F15" i="12"/>
  <c r="W15" i="12" s="1"/>
  <c r="K15" i="12"/>
  <c r="M15" i="12"/>
  <c r="O15" i="12"/>
  <c r="P15" i="12"/>
  <c r="R15" i="12"/>
  <c r="X15" i="12"/>
  <c r="F16" i="12"/>
  <c r="W16" i="12" s="1"/>
  <c r="G16" i="12"/>
  <c r="H16" i="12"/>
  <c r="K16" i="12"/>
  <c r="M16" i="12"/>
  <c r="P16" i="12"/>
  <c r="O16" i="12"/>
  <c r="R16" i="12"/>
  <c r="X16" i="12"/>
  <c r="W17" i="12"/>
  <c r="G17" i="12"/>
  <c r="H17" i="12"/>
  <c r="F17" i="12" s="1"/>
  <c r="K17" i="12"/>
  <c r="M17" i="12"/>
  <c r="O17" i="12"/>
  <c r="P17" i="12"/>
  <c r="R17" i="12"/>
  <c r="Y17" i="12" s="1"/>
  <c r="X17" i="12"/>
  <c r="E18" i="12"/>
  <c r="G18" i="12"/>
  <c r="H18" i="12"/>
  <c r="F18" i="12" s="1"/>
  <c r="W18" i="12" s="1"/>
  <c r="K18" i="12"/>
  <c r="Y18" i="12" s="1"/>
  <c r="M18" i="12"/>
  <c r="P18" i="12"/>
  <c r="O18" i="12" s="1"/>
  <c r="R18" i="12"/>
  <c r="X18" i="12"/>
  <c r="I20" i="12"/>
  <c r="J21" i="12"/>
  <c r="J28" i="12"/>
  <c r="J31" i="12"/>
  <c r="J36" i="12"/>
  <c r="J42" i="12"/>
  <c r="X42" i="12" s="1"/>
  <c r="J46" i="12"/>
  <c r="J49" i="12"/>
  <c r="J53" i="12"/>
  <c r="J67" i="12"/>
  <c r="X67" i="12"/>
  <c r="Q36" i="12"/>
  <c r="Q42" i="12"/>
  <c r="Q49" i="12"/>
  <c r="Q53" i="12"/>
  <c r="B21" i="12"/>
  <c r="G21" i="12"/>
  <c r="L21" i="12"/>
  <c r="M21" i="12"/>
  <c r="P21" i="12"/>
  <c r="O21" i="12" s="1"/>
  <c r="R21" i="12"/>
  <c r="G22" i="12"/>
  <c r="H22" i="12"/>
  <c r="F22" i="12" s="1"/>
  <c r="K22" i="12"/>
  <c r="M22" i="12"/>
  <c r="P22" i="12"/>
  <c r="O22" i="12"/>
  <c r="R22" i="12"/>
  <c r="X22" i="12"/>
  <c r="Y22" i="12"/>
  <c r="E23" i="12"/>
  <c r="E21" i="12" s="1"/>
  <c r="F23" i="12"/>
  <c r="G23" i="12"/>
  <c r="H23" i="12"/>
  <c r="K23" i="12"/>
  <c r="M23" i="12"/>
  <c r="P23" i="12"/>
  <c r="O23" i="12" s="1"/>
  <c r="R23" i="12"/>
  <c r="X23" i="12"/>
  <c r="Y23" i="12"/>
  <c r="H24" i="12"/>
  <c r="F24" i="12"/>
  <c r="K24" i="12"/>
  <c r="M24" i="12"/>
  <c r="P24" i="12"/>
  <c r="O24" i="12"/>
  <c r="R24" i="12"/>
  <c r="W24" i="12"/>
  <c r="X24" i="12"/>
  <c r="Y24" i="12"/>
  <c r="G25" i="12"/>
  <c r="H25" i="12"/>
  <c r="F25" i="12" s="1"/>
  <c r="K25" i="12"/>
  <c r="M25" i="12"/>
  <c r="P25" i="12"/>
  <c r="O25" i="12" s="1"/>
  <c r="R25" i="12"/>
  <c r="X25" i="12"/>
  <c r="G26" i="12"/>
  <c r="H26" i="12"/>
  <c r="F26" i="12" s="1"/>
  <c r="K26" i="12"/>
  <c r="M26" i="12"/>
  <c r="P26" i="12"/>
  <c r="O26" i="12"/>
  <c r="R26" i="12"/>
  <c r="X26" i="12"/>
  <c r="Y26" i="12"/>
  <c r="F27" i="12"/>
  <c r="G27" i="12"/>
  <c r="H27" i="12"/>
  <c r="K27" i="12"/>
  <c r="M27" i="12"/>
  <c r="O27" i="12"/>
  <c r="P27" i="12"/>
  <c r="R27" i="12"/>
  <c r="Y27" i="12" s="1"/>
  <c r="X27" i="12"/>
  <c r="B28" i="12"/>
  <c r="E28" i="12"/>
  <c r="G28" i="12"/>
  <c r="L28" i="12"/>
  <c r="N28" i="12"/>
  <c r="R28" i="12"/>
  <c r="X28" i="12"/>
  <c r="H29" i="12"/>
  <c r="F29" i="12"/>
  <c r="K29" i="12"/>
  <c r="M29" i="12"/>
  <c r="P29" i="12"/>
  <c r="O29" i="12"/>
  <c r="R29" i="12"/>
  <c r="X29" i="12"/>
  <c r="Y29" i="12"/>
  <c r="H30" i="12"/>
  <c r="F30" i="12" s="1"/>
  <c r="W30" i="12" s="1"/>
  <c r="K30" i="12"/>
  <c r="Y30" i="12" s="1"/>
  <c r="M30" i="12"/>
  <c r="P30" i="12"/>
  <c r="O30" i="12" s="1"/>
  <c r="R30" i="12"/>
  <c r="X30" i="12"/>
  <c r="B31" i="12"/>
  <c r="G31" i="12"/>
  <c r="L31" i="12"/>
  <c r="N31" i="12"/>
  <c r="M31" i="12" s="1"/>
  <c r="R31" i="12"/>
  <c r="X31" i="12"/>
  <c r="G32" i="12"/>
  <c r="H32" i="12"/>
  <c r="F32" i="12" s="1"/>
  <c r="K32" i="12"/>
  <c r="Y32" i="12" s="1"/>
  <c r="M32" i="12"/>
  <c r="P32" i="12"/>
  <c r="R32" i="12"/>
  <c r="X32" i="12"/>
  <c r="H33" i="12"/>
  <c r="F33" i="12" s="1"/>
  <c r="K33" i="12"/>
  <c r="Y33" i="12" s="1"/>
  <c r="M33" i="12"/>
  <c r="P33" i="12"/>
  <c r="O33" i="12" s="1"/>
  <c r="R33" i="12"/>
  <c r="X33" i="12"/>
  <c r="E34" i="12"/>
  <c r="E31" i="12" s="1"/>
  <c r="G34" i="12"/>
  <c r="H34" i="12"/>
  <c r="F34" i="12" s="1"/>
  <c r="W34" i="12" s="1"/>
  <c r="K34" i="12"/>
  <c r="M34" i="12"/>
  <c r="P34" i="12"/>
  <c r="O34" i="12"/>
  <c r="R34" i="12"/>
  <c r="X34" i="12"/>
  <c r="Y34" i="12"/>
  <c r="E35" i="12"/>
  <c r="H35" i="12"/>
  <c r="F35" i="12" s="1"/>
  <c r="W35" i="12" s="1"/>
  <c r="K35" i="12"/>
  <c r="M35" i="12"/>
  <c r="O35" i="12"/>
  <c r="P35" i="12"/>
  <c r="R35" i="12"/>
  <c r="X35" i="12"/>
  <c r="B36" i="12"/>
  <c r="G36" i="12"/>
  <c r="N36" i="12"/>
  <c r="M36" i="12" s="1"/>
  <c r="S36" i="12"/>
  <c r="X36" i="12"/>
  <c r="G37" i="12"/>
  <c r="H37" i="12"/>
  <c r="F37" i="12" s="1"/>
  <c r="K37" i="12"/>
  <c r="M37" i="12"/>
  <c r="P37" i="12"/>
  <c r="R37" i="12"/>
  <c r="X37" i="12"/>
  <c r="Y37" i="12"/>
  <c r="G38" i="12"/>
  <c r="H38" i="12"/>
  <c r="F38" i="12" s="1"/>
  <c r="K38" i="12"/>
  <c r="M38" i="12"/>
  <c r="O38" i="12"/>
  <c r="P38" i="12"/>
  <c r="R38" i="12"/>
  <c r="Y38" i="12" s="1"/>
  <c r="X38" i="12"/>
  <c r="F39" i="12"/>
  <c r="H39" i="12"/>
  <c r="K39" i="12"/>
  <c r="M39" i="12"/>
  <c r="P39" i="12"/>
  <c r="O39" i="12" s="1"/>
  <c r="R39" i="12"/>
  <c r="X39" i="12"/>
  <c r="H40" i="12"/>
  <c r="F40" i="12" s="1"/>
  <c r="K40" i="12"/>
  <c r="Y40" i="12"/>
  <c r="N40" i="12"/>
  <c r="M40" i="12"/>
  <c r="P40" i="12"/>
  <c r="O40" i="12"/>
  <c r="R40" i="12"/>
  <c r="T40" i="12"/>
  <c r="X40" i="12"/>
  <c r="E41" i="12"/>
  <c r="L41" i="12"/>
  <c r="M41" i="12"/>
  <c r="P41" i="12"/>
  <c r="O41" i="12" s="1"/>
  <c r="R41" i="12"/>
  <c r="X41" i="12"/>
  <c r="B42" i="12"/>
  <c r="E42" i="12"/>
  <c r="N42" i="12"/>
  <c r="M42" i="12" s="1"/>
  <c r="R42" i="12"/>
  <c r="H43" i="12"/>
  <c r="F43" i="12" s="1"/>
  <c r="W43" i="12" s="1"/>
  <c r="K43" i="12"/>
  <c r="M43" i="12"/>
  <c r="P43" i="12"/>
  <c r="O43" i="12" s="1"/>
  <c r="R43" i="12"/>
  <c r="X43" i="12"/>
  <c r="L44" i="12"/>
  <c r="M44" i="12"/>
  <c r="P44" i="12"/>
  <c r="O44" i="12"/>
  <c r="R44" i="12"/>
  <c r="X44" i="12"/>
  <c r="H45" i="12"/>
  <c r="F45" i="12" s="1"/>
  <c r="W45" i="12" s="1"/>
  <c r="K45" i="12"/>
  <c r="M45" i="12"/>
  <c r="P45" i="12"/>
  <c r="O45" i="12"/>
  <c r="R45" i="12"/>
  <c r="X45" i="12"/>
  <c r="B46" i="12"/>
  <c r="E46" i="12"/>
  <c r="G46" i="12"/>
  <c r="L46" i="12"/>
  <c r="K46" i="12" s="1"/>
  <c r="H46" i="12"/>
  <c r="F46" i="12" s="1"/>
  <c r="W46" i="12" s="1"/>
  <c r="M46" i="12"/>
  <c r="N46" i="12"/>
  <c r="O46" i="12"/>
  <c r="P46" i="12"/>
  <c r="R46" i="12"/>
  <c r="X46" i="12"/>
  <c r="F47" i="12"/>
  <c r="H47" i="12"/>
  <c r="K47" i="12"/>
  <c r="Y47" i="12" s="1"/>
  <c r="M47" i="12"/>
  <c r="P47" i="12"/>
  <c r="O47" i="12" s="1"/>
  <c r="R47" i="12"/>
  <c r="X47" i="12"/>
  <c r="H48" i="12"/>
  <c r="F48" i="12" s="1"/>
  <c r="W48" i="12" s="1"/>
  <c r="K48" i="12"/>
  <c r="M48" i="12"/>
  <c r="P48" i="12"/>
  <c r="O48" i="12" s="1"/>
  <c r="R48" i="12"/>
  <c r="X48" i="12"/>
  <c r="B49" i="12"/>
  <c r="E49" i="12"/>
  <c r="G49" i="12"/>
  <c r="L49" i="12"/>
  <c r="N49" i="12"/>
  <c r="M49" i="12" s="1"/>
  <c r="S49" i="12"/>
  <c r="R49" i="12" s="1"/>
  <c r="T49" i="12"/>
  <c r="X49" i="12"/>
  <c r="G50" i="12"/>
  <c r="H50" i="12"/>
  <c r="F50" i="12"/>
  <c r="K50" i="12"/>
  <c r="Y50" i="12" s="1"/>
  <c r="N50" i="12"/>
  <c r="M50" i="12"/>
  <c r="P50" i="12"/>
  <c r="R50" i="12"/>
  <c r="X50" i="12"/>
  <c r="G51" i="12"/>
  <c r="H51" i="12"/>
  <c r="F51" i="12" s="1"/>
  <c r="W51" i="12" s="1"/>
  <c r="K51" i="12"/>
  <c r="Y51" i="12" s="1"/>
  <c r="N51" i="12"/>
  <c r="M51" i="12"/>
  <c r="P51" i="12"/>
  <c r="O51" i="12" s="1"/>
  <c r="R51" i="12"/>
  <c r="X51" i="12"/>
  <c r="D52" i="12"/>
  <c r="C52" i="12" s="1"/>
  <c r="V52" i="12" s="1"/>
  <c r="H52" i="12"/>
  <c r="F52" i="12" s="1"/>
  <c r="K52" i="12"/>
  <c r="M52" i="12"/>
  <c r="P52" i="12"/>
  <c r="O52" i="12" s="1"/>
  <c r="R52" i="12"/>
  <c r="X52" i="12"/>
  <c r="Y52" i="12"/>
  <c r="B53" i="12"/>
  <c r="G53" i="12"/>
  <c r="L53" i="12"/>
  <c r="K53" i="12"/>
  <c r="N53" i="12"/>
  <c r="M53" i="12" s="1"/>
  <c r="S53" i="12"/>
  <c r="R53" i="12"/>
  <c r="Y53" i="12" s="1"/>
  <c r="X53" i="12"/>
  <c r="H54" i="12"/>
  <c r="K54" i="12"/>
  <c r="M54" i="12"/>
  <c r="P54" i="12"/>
  <c r="O54" i="12" s="1"/>
  <c r="R54" i="12"/>
  <c r="X54" i="12"/>
  <c r="Y54" i="12"/>
  <c r="H55" i="12"/>
  <c r="F55" i="12" s="1"/>
  <c r="K55" i="12"/>
  <c r="M55" i="12"/>
  <c r="P55" i="12"/>
  <c r="O55" i="12" s="1"/>
  <c r="W55" i="12" s="1"/>
  <c r="R55" i="12"/>
  <c r="X55" i="12"/>
  <c r="H56" i="12"/>
  <c r="F56" i="12"/>
  <c r="K56" i="12"/>
  <c r="M56" i="12"/>
  <c r="N56" i="12"/>
  <c r="O56" i="12"/>
  <c r="P56" i="12"/>
  <c r="R56" i="12"/>
  <c r="T56" i="12"/>
  <c r="X56" i="12"/>
  <c r="Y56" i="12"/>
  <c r="H57" i="12"/>
  <c r="F57" i="12" s="1"/>
  <c r="K57" i="12"/>
  <c r="Y57" i="12" s="1"/>
  <c r="M57" i="12"/>
  <c r="N57" i="12"/>
  <c r="P57" i="12"/>
  <c r="O57" i="12" s="1"/>
  <c r="R57" i="12"/>
  <c r="T57" i="12"/>
  <c r="T53" i="12" s="1"/>
  <c r="T20" i="12" s="1"/>
  <c r="X57" i="12"/>
  <c r="D58" i="12"/>
  <c r="C58" i="12" s="1"/>
  <c r="V58" i="12"/>
  <c r="H58" i="12"/>
  <c r="F58" i="12" s="1"/>
  <c r="K58" i="12"/>
  <c r="M58" i="12"/>
  <c r="P58" i="12"/>
  <c r="O58" i="12" s="1"/>
  <c r="R58" i="12"/>
  <c r="X58" i="12"/>
  <c r="D59" i="12"/>
  <c r="C59" i="12" s="1"/>
  <c r="F59" i="12"/>
  <c r="H59" i="12"/>
  <c r="K59" i="12"/>
  <c r="M59" i="12"/>
  <c r="O59" i="12"/>
  <c r="P59" i="12"/>
  <c r="R59" i="12"/>
  <c r="W59" i="12"/>
  <c r="X59" i="12"/>
  <c r="D60" i="12"/>
  <c r="C60" i="12"/>
  <c r="V60" i="12" s="1"/>
  <c r="H60" i="12"/>
  <c r="F60" i="12" s="1"/>
  <c r="W60" i="12" s="1"/>
  <c r="K60" i="12"/>
  <c r="M60" i="12"/>
  <c r="P60" i="12"/>
  <c r="O60" i="12"/>
  <c r="R60" i="12"/>
  <c r="X60" i="12"/>
  <c r="Y60" i="12"/>
  <c r="F61" i="12"/>
  <c r="W61" i="12" s="1"/>
  <c r="H61" i="12"/>
  <c r="K61" i="12"/>
  <c r="M61" i="12"/>
  <c r="O61" i="12"/>
  <c r="P61" i="12"/>
  <c r="R61" i="12"/>
  <c r="X61" i="12"/>
  <c r="D62" i="12"/>
  <c r="C62" i="12" s="1"/>
  <c r="F62" i="12"/>
  <c r="W62" i="12" s="1"/>
  <c r="H62" i="12"/>
  <c r="K62" i="12"/>
  <c r="M62" i="12"/>
  <c r="O62" i="12"/>
  <c r="P62" i="12"/>
  <c r="R62" i="12"/>
  <c r="X62" i="12"/>
  <c r="H63" i="12"/>
  <c r="F63" i="12"/>
  <c r="K63" i="12"/>
  <c r="M63" i="12"/>
  <c r="P63" i="12"/>
  <c r="O63" i="12"/>
  <c r="R63" i="12"/>
  <c r="X63" i="12"/>
  <c r="D64" i="12"/>
  <c r="C64" i="12"/>
  <c r="V64" i="12" s="1"/>
  <c r="H64" i="12"/>
  <c r="F64" i="12"/>
  <c r="K64" i="12"/>
  <c r="M64" i="12"/>
  <c r="P64" i="12"/>
  <c r="O64" i="12" s="1"/>
  <c r="R64" i="12"/>
  <c r="X64" i="12"/>
  <c r="Y64" i="12"/>
  <c r="F65" i="12"/>
  <c r="H65" i="12"/>
  <c r="K65" i="12"/>
  <c r="M65" i="12"/>
  <c r="O65" i="12"/>
  <c r="P65" i="12"/>
  <c r="R65" i="12"/>
  <c r="Y65" i="12" s="1"/>
  <c r="X65" i="12"/>
  <c r="E66" i="12"/>
  <c r="E53" i="12" s="1"/>
  <c r="H66" i="12"/>
  <c r="F66" i="12" s="1"/>
  <c r="K66" i="12"/>
  <c r="M66" i="12"/>
  <c r="P66" i="12"/>
  <c r="O66" i="12" s="1"/>
  <c r="R66" i="12"/>
  <c r="X66" i="12"/>
  <c r="Y66" i="12"/>
  <c r="B67" i="12"/>
  <c r="G67" i="12"/>
  <c r="M67" i="12"/>
  <c r="P67" i="12"/>
  <c r="O67" i="12" s="1"/>
  <c r="R67" i="12"/>
  <c r="Y67" i="12" s="1"/>
  <c r="H68" i="12"/>
  <c r="K68" i="12"/>
  <c r="M68" i="12"/>
  <c r="P68" i="12"/>
  <c r="O68" i="12" s="1"/>
  <c r="R68" i="12"/>
  <c r="X68" i="12"/>
  <c r="Y68" i="12"/>
  <c r="E69" i="12"/>
  <c r="F69" i="12"/>
  <c r="H69" i="12"/>
  <c r="K69" i="12"/>
  <c r="M69" i="12"/>
  <c r="O69" i="12"/>
  <c r="P69" i="12"/>
  <c r="R69" i="12"/>
  <c r="W69" i="12"/>
  <c r="X69" i="12"/>
  <c r="H70" i="12"/>
  <c r="F70" i="12" s="1"/>
  <c r="L70" i="12"/>
  <c r="L67" i="12" s="1"/>
  <c r="K67" i="12"/>
  <c r="M70" i="12"/>
  <c r="O70" i="12"/>
  <c r="P70" i="12"/>
  <c r="R70" i="12"/>
  <c r="X70" i="12"/>
  <c r="J73" i="12"/>
  <c r="J84" i="12"/>
  <c r="L72" i="12"/>
  <c r="K72" i="12" s="1"/>
  <c r="Y72" i="12" s="1"/>
  <c r="S72" i="12"/>
  <c r="R72" i="12"/>
  <c r="B73" i="12"/>
  <c r="B72" i="12" s="1"/>
  <c r="G73" i="12"/>
  <c r="H73" i="12"/>
  <c r="F73" i="12" s="1"/>
  <c r="L73" i="12"/>
  <c r="K73" i="12" s="1"/>
  <c r="R73" i="12"/>
  <c r="W74" i="12"/>
  <c r="G74" i="12"/>
  <c r="H74" i="12"/>
  <c r="F74" i="12" s="1"/>
  <c r="K74" i="12"/>
  <c r="M74" i="12"/>
  <c r="O74" i="12"/>
  <c r="P74" i="12"/>
  <c r="R74" i="12"/>
  <c r="Y74" i="12" s="1"/>
  <c r="X74" i="12"/>
  <c r="C75" i="12"/>
  <c r="H75" i="12"/>
  <c r="M75" i="12"/>
  <c r="P75" i="12"/>
  <c r="O75" i="12" s="1"/>
  <c r="W75" i="12" s="1"/>
  <c r="R75" i="12"/>
  <c r="Y75" i="12" s="1"/>
  <c r="X75" i="12"/>
  <c r="F76" i="12"/>
  <c r="W76" i="12" s="1"/>
  <c r="G76" i="12"/>
  <c r="H76" i="12"/>
  <c r="K76" i="12"/>
  <c r="M76" i="12"/>
  <c r="P76" i="12"/>
  <c r="O76" i="12" s="1"/>
  <c r="R76" i="12"/>
  <c r="X76" i="12"/>
  <c r="G77" i="12"/>
  <c r="H77" i="12"/>
  <c r="F77" i="12" s="1"/>
  <c r="W77" i="12" s="1"/>
  <c r="K77" i="12"/>
  <c r="M77" i="12"/>
  <c r="O77" i="12"/>
  <c r="P77" i="12"/>
  <c r="R77" i="12"/>
  <c r="Y77" i="12" s="1"/>
  <c r="X77" i="12"/>
  <c r="E78" i="12"/>
  <c r="E73" i="12" s="1"/>
  <c r="G78" i="12"/>
  <c r="H78" i="12"/>
  <c r="F78" i="12" s="1"/>
  <c r="K78" i="12"/>
  <c r="Y78" i="12" s="1"/>
  <c r="N78" i="12"/>
  <c r="P78" i="12"/>
  <c r="O78" i="12" s="1"/>
  <c r="R78" i="12"/>
  <c r="T78" i="12"/>
  <c r="T73" i="12" s="1"/>
  <c r="T72" i="12" s="1"/>
  <c r="X78" i="12"/>
  <c r="F79" i="12"/>
  <c r="H79" i="12"/>
  <c r="K79" i="12"/>
  <c r="M79" i="12"/>
  <c r="O79" i="12"/>
  <c r="P79" i="12"/>
  <c r="R79" i="12"/>
  <c r="Y79" i="12" s="1"/>
  <c r="X79" i="12"/>
  <c r="G80" i="12"/>
  <c r="H80" i="12"/>
  <c r="F80" i="12"/>
  <c r="K80" i="12"/>
  <c r="M80" i="12"/>
  <c r="P80" i="12"/>
  <c r="O80" i="12" s="1"/>
  <c r="R80" i="12"/>
  <c r="X80" i="12"/>
  <c r="Y80" i="12"/>
  <c r="G81" i="12"/>
  <c r="H81" i="12"/>
  <c r="F81" i="12" s="1"/>
  <c r="W81" i="12"/>
  <c r="K81" i="12"/>
  <c r="M81" i="12"/>
  <c r="P81" i="12"/>
  <c r="O81" i="12" s="1"/>
  <c r="R81" i="12"/>
  <c r="X81" i="12"/>
  <c r="V82" i="12"/>
  <c r="D82" i="12"/>
  <c r="C82" i="12" s="1"/>
  <c r="H82" i="12"/>
  <c r="F82" i="12" s="1"/>
  <c r="W82" i="12" s="1"/>
  <c r="K82" i="12"/>
  <c r="Y82" i="12" s="1"/>
  <c r="M82" i="12"/>
  <c r="P82" i="12"/>
  <c r="O82" i="12" s="1"/>
  <c r="R82" i="12"/>
  <c r="X82" i="12"/>
  <c r="H83" i="12"/>
  <c r="F83" i="12" s="1"/>
  <c r="K83" i="12"/>
  <c r="M83" i="12"/>
  <c r="P83" i="12"/>
  <c r="O83" i="12" s="1"/>
  <c r="R83" i="12"/>
  <c r="X83" i="12"/>
  <c r="Y83" i="12"/>
  <c r="B84" i="12"/>
  <c r="E84" i="12"/>
  <c r="I84" i="12"/>
  <c r="I72" i="12"/>
  <c r="L84" i="12"/>
  <c r="H84" i="12" s="1"/>
  <c r="M84" i="12"/>
  <c r="R84" i="12"/>
  <c r="X84" i="12"/>
  <c r="D85" i="12"/>
  <c r="C85" i="12" s="1"/>
  <c r="G85" i="12"/>
  <c r="H85" i="12"/>
  <c r="F85" i="12" s="1"/>
  <c r="K85" i="12"/>
  <c r="Y85" i="12" s="1"/>
  <c r="M85" i="12"/>
  <c r="P85" i="12"/>
  <c r="R85" i="12"/>
  <c r="X85" i="12"/>
  <c r="G86" i="12"/>
  <c r="H86" i="12"/>
  <c r="F86" i="12" s="1"/>
  <c r="K86" i="12"/>
  <c r="M86" i="12"/>
  <c r="P86" i="12"/>
  <c r="O86" i="12"/>
  <c r="R86" i="12"/>
  <c r="X86" i="12"/>
  <c r="Y86" i="12"/>
  <c r="F87" i="12"/>
  <c r="G87" i="12"/>
  <c r="H87" i="12"/>
  <c r="K87" i="12"/>
  <c r="Y87" i="12" s="1"/>
  <c r="M87" i="12"/>
  <c r="O87" i="12"/>
  <c r="P87" i="12"/>
  <c r="R87" i="12"/>
  <c r="X87" i="12"/>
  <c r="G88" i="12"/>
  <c r="H88" i="12"/>
  <c r="F88" i="12" s="1"/>
  <c r="K88" i="12"/>
  <c r="M88" i="12"/>
  <c r="P88" i="12"/>
  <c r="O88" i="12" s="1"/>
  <c r="W88" i="12" s="1"/>
  <c r="R88" i="12"/>
  <c r="X88" i="12"/>
  <c r="Y88" i="12"/>
  <c r="G89" i="12"/>
  <c r="H89" i="12"/>
  <c r="F89" i="12"/>
  <c r="W89" i="12" s="1"/>
  <c r="K89" i="12"/>
  <c r="M89" i="12"/>
  <c r="O89" i="12"/>
  <c r="P89" i="12"/>
  <c r="R89" i="12"/>
  <c r="X89" i="12"/>
  <c r="G90" i="12"/>
  <c r="H90" i="12"/>
  <c r="F90" i="12" s="1"/>
  <c r="W90" i="12" s="1"/>
  <c r="K90" i="12"/>
  <c r="M90" i="12"/>
  <c r="P90" i="12"/>
  <c r="O90" i="12"/>
  <c r="R90" i="12"/>
  <c r="X90" i="12"/>
  <c r="F91" i="12"/>
  <c r="G91" i="12"/>
  <c r="H91" i="12"/>
  <c r="K91" i="12"/>
  <c r="M91" i="12"/>
  <c r="O91" i="12"/>
  <c r="P91" i="12"/>
  <c r="R91" i="12"/>
  <c r="Y91" i="12" s="1"/>
  <c r="X91" i="12"/>
  <c r="G92" i="12"/>
  <c r="H92" i="12"/>
  <c r="F92" i="12"/>
  <c r="K92" i="12"/>
  <c r="M92" i="12"/>
  <c r="P92" i="12"/>
  <c r="O92" i="12"/>
  <c r="R92" i="12"/>
  <c r="X92" i="12"/>
  <c r="Y92" i="12"/>
  <c r="G93" i="12"/>
  <c r="H93" i="12"/>
  <c r="F93" i="12" s="1"/>
  <c r="W93" i="12"/>
  <c r="K93" i="12"/>
  <c r="M93" i="12"/>
  <c r="P93" i="12"/>
  <c r="O93" i="12" s="1"/>
  <c r="R93" i="12"/>
  <c r="X93" i="12"/>
  <c r="B95" i="12"/>
  <c r="I95" i="12"/>
  <c r="J95" i="12"/>
  <c r="L95" i="12"/>
  <c r="K95" i="12"/>
  <c r="Q95" i="12"/>
  <c r="R95" i="12"/>
  <c r="S95" i="12"/>
  <c r="T95" i="12"/>
  <c r="E96" i="12"/>
  <c r="G96" i="12"/>
  <c r="H96" i="12"/>
  <c r="F96" i="12"/>
  <c r="K96" i="12"/>
  <c r="M96" i="12"/>
  <c r="P96" i="12"/>
  <c r="R96" i="12"/>
  <c r="X96" i="12"/>
  <c r="G97" i="12"/>
  <c r="H97" i="12"/>
  <c r="H95" i="12"/>
  <c r="F95" i="12" s="1"/>
  <c r="K97" i="12"/>
  <c r="Y97" i="12" s="1"/>
  <c r="M97" i="12"/>
  <c r="P97" i="12"/>
  <c r="O97" i="12" s="1"/>
  <c r="R97" i="12"/>
  <c r="X97" i="12"/>
  <c r="G98" i="12"/>
  <c r="H98" i="12"/>
  <c r="F98" i="12" s="1"/>
  <c r="K98" i="12"/>
  <c r="M98" i="12"/>
  <c r="O98" i="12"/>
  <c r="P98" i="12"/>
  <c r="R98" i="12"/>
  <c r="X98" i="12"/>
  <c r="G99" i="12"/>
  <c r="H99" i="12"/>
  <c r="F99" i="12" s="1"/>
  <c r="K99" i="12"/>
  <c r="M99" i="12"/>
  <c r="N99" i="12"/>
  <c r="N95" i="12" s="1"/>
  <c r="M95" i="12" s="1"/>
  <c r="O99" i="12"/>
  <c r="P99" i="12"/>
  <c r="R99" i="12"/>
  <c r="Y99" i="12" s="1"/>
  <c r="T99" i="12"/>
  <c r="X99" i="12"/>
  <c r="F100" i="12"/>
  <c r="W100" i="12" s="1"/>
  <c r="G100" i="12"/>
  <c r="H100" i="12"/>
  <c r="K100" i="12"/>
  <c r="M100" i="12"/>
  <c r="O100" i="12"/>
  <c r="P100" i="12"/>
  <c r="R100" i="12"/>
  <c r="X100" i="12"/>
  <c r="B102" i="12"/>
  <c r="I102" i="12"/>
  <c r="J102" i="12"/>
  <c r="L102" i="12"/>
  <c r="K102" i="12" s="1"/>
  <c r="Q102" i="12"/>
  <c r="R102" i="12"/>
  <c r="S102" i="12"/>
  <c r="G103" i="12"/>
  <c r="G102" i="12"/>
  <c r="H103" i="12"/>
  <c r="F103" i="12" s="1"/>
  <c r="K103" i="12"/>
  <c r="M103" i="12"/>
  <c r="N103" i="12"/>
  <c r="N102" i="12" s="1"/>
  <c r="M102" i="12" s="1"/>
  <c r="P103" i="12"/>
  <c r="O103" i="12" s="1"/>
  <c r="R103" i="12"/>
  <c r="T103" i="12"/>
  <c r="X103" i="12"/>
  <c r="Y103" i="12"/>
  <c r="F104" i="12"/>
  <c r="G104" i="12"/>
  <c r="H104" i="12"/>
  <c r="K104" i="12"/>
  <c r="M104" i="12"/>
  <c r="O104" i="12"/>
  <c r="P104" i="12"/>
  <c r="R104" i="12"/>
  <c r="X104" i="12"/>
  <c r="G105" i="12"/>
  <c r="H105" i="12"/>
  <c r="F105" i="12" s="1"/>
  <c r="K105" i="12"/>
  <c r="Y105" i="12" s="1"/>
  <c r="M105" i="12"/>
  <c r="N105" i="12"/>
  <c r="O105" i="12"/>
  <c r="P105" i="12"/>
  <c r="R105" i="12"/>
  <c r="T105" i="12"/>
  <c r="W105" i="12"/>
  <c r="X105" i="12"/>
  <c r="E106" i="12"/>
  <c r="E102" i="12"/>
  <c r="F106" i="12"/>
  <c r="W106" i="12" s="1"/>
  <c r="G106" i="12"/>
  <c r="H106" i="12"/>
  <c r="K106" i="12"/>
  <c r="M106" i="12"/>
  <c r="N106" i="12"/>
  <c r="P106" i="12"/>
  <c r="O106" i="12" s="1"/>
  <c r="R106" i="12"/>
  <c r="T106" i="12"/>
  <c r="X106" i="12"/>
  <c r="B108" i="12"/>
  <c r="E108" i="12"/>
  <c r="I108" i="12"/>
  <c r="J108" i="12"/>
  <c r="L108" i="12"/>
  <c r="K108" i="12" s="1"/>
  <c r="R108" i="12"/>
  <c r="S108" i="12"/>
  <c r="X108" i="12"/>
  <c r="G109" i="12"/>
  <c r="H109" i="12"/>
  <c r="F109" i="12" s="1"/>
  <c r="K109" i="12"/>
  <c r="M109" i="12"/>
  <c r="P109" i="12"/>
  <c r="O109" i="12" s="1"/>
  <c r="R109" i="12"/>
  <c r="X109" i="12"/>
  <c r="G110" i="12"/>
  <c r="H110" i="12"/>
  <c r="F110" i="12" s="1"/>
  <c r="K110" i="12"/>
  <c r="M110" i="12"/>
  <c r="P110" i="12"/>
  <c r="O110" i="12" s="1"/>
  <c r="R110" i="12"/>
  <c r="X110" i="12"/>
  <c r="Y110" i="12"/>
  <c r="H111" i="12"/>
  <c r="F111" i="12" s="1"/>
  <c r="W111" i="12" s="1"/>
  <c r="K111" i="12"/>
  <c r="M111" i="12"/>
  <c r="P111" i="12"/>
  <c r="O111" i="12" s="1"/>
  <c r="R111" i="12"/>
  <c r="X111" i="12"/>
  <c r="F112" i="12"/>
  <c r="W112" i="12"/>
  <c r="G112" i="12"/>
  <c r="H112" i="12"/>
  <c r="K112" i="12"/>
  <c r="M112" i="12"/>
  <c r="O112" i="12"/>
  <c r="P112" i="12"/>
  <c r="R112" i="12"/>
  <c r="X112" i="12"/>
  <c r="G113" i="12"/>
  <c r="H113" i="12"/>
  <c r="F113" i="12" s="1"/>
  <c r="K113" i="12"/>
  <c r="N113" i="12"/>
  <c r="P113" i="12"/>
  <c r="O113" i="12" s="1"/>
  <c r="R113" i="12"/>
  <c r="Y113" i="12" s="1"/>
  <c r="T113" i="12"/>
  <c r="T108" i="12" s="1"/>
  <c r="X113" i="12"/>
  <c r="F114" i="12"/>
  <c r="G114" i="12"/>
  <c r="H114" i="12"/>
  <c r="K114" i="12"/>
  <c r="M114" i="12"/>
  <c r="O114" i="12"/>
  <c r="P114" i="12"/>
  <c r="R114" i="12"/>
  <c r="X114" i="12"/>
  <c r="F115" i="12"/>
  <c r="D116" i="12"/>
  <c r="G116" i="12"/>
  <c r="I116" i="12"/>
  <c r="L116" i="12"/>
  <c r="N116" i="12"/>
  <c r="P116" i="12"/>
  <c r="Q116" i="12"/>
  <c r="X116" i="12" s="1"/>
  <c r="S116" i="12"/>
  <c r="R116" i="12" s="1"/>
  <c r="T116" i="12"/>
  <c r="U116" i="12"/>
  <c r="C117" i="12"/>
  <c r="H117" i="12"/>
  <c r="K117" i="12"/>
  <c r="Y117" i="12" s="1"/>
  <c r="M117" i="12"/>
  <c r="N117" i="12"/>
  <c r="O117" i="12"/>
  <c r="P117" i="12"/>
  <c r="R117" i="12"/>
  <c r="T117" i="12"/>
  <c r="X117" i="12"/>
  <c r="F118" i="12"/>
  <c r="H119" i="12"/>
  <c r="F119" i="12" s="1"/>
  <c r="X119" i="12"/>
  <c r="Y119" i="12"/>
  <c r="D120" i="12"/>
  <c r="C120" i="12" s="1"/>
  <c r="V120" i="12" s="1"/>
  <c r="H120" i="12"/>
  <c r="F120" i="12"/>
  <c r="K120" i="12"/>
  <c r="M120" i="12"/>
  <c r="P120" i="12"/>
  <c r="O120" i="12"/>
  <c r="R120" i="12"/>
  <c r="X120" i="12"/>
  <c r="D124" i="12"/>
  <c r="E124" i="12"/>
  <c r="F124" i="12"/>
  <c r="G124" i="12"/>
  <c r="H124" i="12"/>
  <c r="I124" i="12"/>
  <c r="J124" i="12"/>
  <c r="K124" i="12"/>
  <c r="L124" i="12"/>
  <c r="D124" i="11"/>
  <c r="E124" i="11"/>
  <c r="F124" i="11"/>
  <c r="G124" i="11"/>
  <c r="H124" i="11"/>
  <c r="I124" i="11"/>
  <c r="J124" i="11"/>
  <c r="K124" i="11"/>
  <c r="L124" i="11"/>
  <c r="N105" i="11"/>
  <c r="N42" i="11"/>
  <c r="B9" i="11"/>
  <c r="I9" i="11"/>
  <c r="R9" i="11"/>
  <c r="S9" i="11"/>
  <c r="T9" i="11"/>
  <c r="G10" i="11"/>
  <c r="H10" i="11"/>
  <c r="K10" i="11"/>
  <c r="M10" i="11"/>
  <c r="P10" i="11"/>
  <c r="R10" i="11"/>
  <c r="X10" i="11"/>
  <c r="Y10" i="11"/>
  <c r="G11" i="11"/>
  <c r="H11" i="11"/>
  <c r="F11" i="11" s="1"/>
  <c r="W11" i="11" s="1"/>
  <c r="K11" i="11"/>
  <c r="M11" i="11"/>
  <c r="P11" i="11"/>
  <c r="O11" i="11" s="1"/>
  <c r="R11" i="11"/>
  <c r="X11" i="11"/>
  <c r="G12" i="11"/>
  <c r="J12" i="11"/>
  <c r="L12" i="11"/>
  <c r="N12" i="11"/>
  <c r="P12" i="11"/>
  <c r="O12" i="11"/>
  <c r="R12" i="11"/>
  <c r="E13" i="11"/>
  <c r="E12" i="11" s="1"/>
  <c r="G13" i="11"/>
  <c r="H13" i="11"/>
  <c r="K13" i="11"/>
  <c r="M13" i="11"/>
  <c r="P13" i="11"/>
  <c r="O13" i="11"/>
  <c r="R13" i="11"/>
  <c r="X13" i="11"/>
  <c r="Y13" i="11"/>
  <c r="E14" i="11"/>
  <c r="G14" i="11"/>
  <c r="H14" i="11"/>
  <c r="F14" i="11"/>
  <c r="K14" i="11"/>
  <c r="Y14" i="11" s="1"/>
  <c r="M14" i="11"/>
  <c r="P14" i="11"/>
  <c r="O14" i="11"/>
  <c r="W14" i="11"/>
  <c r="R14" i="11"/>
  <c r="X14" i="11"/>
  <c r="G15" i="11"/>
  <c r="H15" i="11"/>
  <c r="F15" i="11" s="1"/>
  <c r="W15" i="11" s="1"/>
  <c r="K15" i="11"/>
  <c r="M15" i="11"/>
  <c r="P15" i="11"/>
  <c r="O15" i="11" s="1"/>
  <c r="R15" i="11"/>
  <c r="X15" i="11"/>
  <c r="G16" i="11"/>
  <c r="H16" i="11"/>
  <c r="F16" i="11" s="1"/>
  <c r="W16" i="11" s="1"/>
  <c r="K16" i="11"/>
  <c r="M16" i="11"/>
  <c r="O16" i="11"/>
  <c r="P16" i="11"/>
  <c r="R16" i="11"/>
  <c r="X16" i="11"/>
  <c r="Y16" i="11"/>
  <c r="G17" i="11"/>
  <c r="H17" i="11"/>
  <c r="F17" i="11"/>
  <c r="K17" i="11"/>
  <c r="Y17" i="11" s="1"/>
  <c r="M17" i="11"/>
  <c r="P17" i="11"/>
  <c r="O17" i="11" s="1"/>
  <c r="W17" i="11" s="1"/>
  <c r="R17" i="11"/>
  <c r="X17" i="11"/>
  <c r="E18" i="11"/>
  <c r="G18" i="11"/>
  <c r="H18" i="11"/>
  <c r="F18" i="11"/>
  <c r="K18" i="11"/>
  <c r="Y18" i="11" s="1"/>
  <c r="M18" i="11"/>
  <c r="O18" i="11"/>
  <c r="P18" i="11"/>
  <c r="R18" i="11"/>
  <c r="X18" i="11"/>
  <c r="I20" i="11"/>
  <c r="B21" i="11"/>
  <c r="E21" i="11"/>
  <c r="G21" i="11"/>
  <c r="H21" i="11"/>
  <c r="J21" i="11"/>
  <c r="X21" i="11" s="1"/>
  <c r="L21" i="11"/>
  <c r="M21" i="11"/>
  <c r="O21" i="11"/>
  <c r="P21" i="11"/>
  <c r="R21" i="11"/>
  <c r="G22" i="11"/>
  <c r="H22" i="11"/>
  <c r="F22" i="11" s="1"/>
  <c r="W22" i="11" s="1"/>
  <c r="K22" i="11"/>
  <c r="M22" i="11"/>
  <c r="O22" i="11"/>
  <c r="P22" i="11"/>
  <c r="R22" i="11"/>
  <c r="X22" i="11"/>
  <c r="E23" i="11"/>
  <c r="G23" i="11"/>
  <c r="H23" i="11"/>
  <c r="F23" i="11" s="1"/>
  <c r="W23" i="11" s="1"/>
  <c r="K23" i="11"/>
  <c r="M23" i="11"/>
  <c r="O23" i="11"/>
  <c r="P23" i="11"/>
  <c r="R23" i="11"/>
  <c r="X23" i="11"/>
  <c r="H24" i="11"/>
  <c r="F24" i="11"/>
  <c r="K24" i="11"/>
  <c r="M24" i="11"/>
  <c r="P24" i="11"/>
  <c r="O24" i="11" s="1"/>
  <c r="R24" i="11"/>
  <c r="X24" i="11"/>
  <c r="F25" i="11"/>
  <c r="W25" i="11" s="1"/>
  <c r="G25" i="11"/>
  <c r="H25" i="11"/>
  <c r="K25" i="11"/>
  <c r="Y25" i="11" s="1"/>
  <c r="M25" i="11"/>
  <c r="O25" i="11"/>
  <c r="P25" i="11"/>
  <c r="R25" i="11"/>
  <c r="X25" i="11"/>
  <c r="G26" i="11"/>
  <c r="H26" i="11"/>
  <c r="F26" i="11" s="1"/>
  <c r="K26" i="11"/>
  <c r="M26" i="11"/>
  <c r="P26" i="11"/>
  <c r="O26" i="11" s="1"/>
  <c r="R26" i="11"/>
  <c r="X26" i="11"/>
  <c r="Y26" i="11"/>
  <c r="G27" i="11"/>
  <c r="H27" i="11"/>
  <c r="F27" i="11"/>
  <c r="K27" i="11"/>
  <c r="Y27" i="11"/>
  <c r="M27" i="11"/>
  <c r="P27" i="11"/>
  <c r="O27" i="11" s="1"/>
  <c r="R27" i="11"/>
  <c r="X27" i="11"/>
  <c r="B28" i="11"/>
  <c r="E28" i="11"/>
  <c r="G28" i="11"/>
  <c r="J28" i="11"/>
  <c r="X28" i="11" s="1"/>
  <c r="L28" i="11"/>
  <c r="M28" i="11"/>
  <c r="N28" i="11"/>
  <c r="R28" i="11"/>
  <c r="H29" i="11"/>
  <c r="F29" i="11" s="1"/>
  <c r="K29" i="11"/>
  <c r="M29" i="11"/>
  <c r="O29" i="11"/>
  <c r="W29" i="11" s="1"/>
  <c r="P29" i="11"/>
  <c r="P28" i="11" s="1"/>
  <c r="R29" i="11"/>
  <c r="X29" i="11"/>
  <c r="Y29" i="11"/>
  <c r="H30" i="11"/>
  <c r="F30" i="11" s="1"/>
  <c r="K30" i="11"/>
  <c r="Y30" i="11"/>
  <c r="M30" i="11"/>
  <c r="P30" i="11"/>
  <c r="O30" i="11" s="1"/>
  <c r="R30" i="11"/>
  <c r="W30" i="11"/>
  <c r="X30" i="11"/>
  <c r="B31" i="11"/>
  <c r="G31" i="11"/>
  <c r="J31" i="11"/>
  <c r="L31" i="11"/>
  <c r="N31" i="11"/>
  <c r="M31" i="11" s="1"/>
  <c r="R31" i="11"/>
  <c r="X31" i="11"/>
  <c r="G32" i="11"/>
  <c r="H32" i="11"/>
  <c r="F32" i="11" s="1"/>
  <c r="K32" i="11"/>
  <c r="M32" i="11"/>
  <c r="P32" i="11"/>
  <c r="O32" i="11" s="1"/>
  <c r="W32" i="11" s="1"/>
  <c r="R32" i="11"/>
  <c r="X32" i="11"/>
  <c r="H33" i="11"/>
  <c r="F33" i="11" s="1"/>
  <c r="K33" i="11"/>
  <c r="M33" i="11"/>
  <c r="O33" i="11"/>
  <c r="P33" i="11"/>
  <c r="R33" i="11"/>
  <c r="Y33" i="11" s="1"/>
  <c r="X33" i="11"/>
  <c r="E34" i="11"/>
  <c r="E31" i="11" s="1"/>
  <c r="G34" i="11"/>
  <c r="H34" i="11"/>
  <c r="F34" i="11" s="1"/>
  <c r="K34" i="11"/>
  <c r="M34" i="11"/>
  <c r="O34" i="11"/>
  <c r="P34" i="11"/>
  <c r="R34" i="11"/>
  <c r="Y34" i="11" s="1"/>
  <c r="X34" i="11"/>
  <c r="E35" i="11"/>
  <c r="H35" i="11"/>
  <c r="F35" i="11"/>
  <c r="W35" i="11" s="1"/>
  <c r="K35" i="11"/>
  <c r="Y35" i="11" s="1"/>
  <c r="M35" i="11"/>
  <c r="P35" i="11"/>
  <c r="R35" i="11"/>
  <c r="X35" i="11"/>
  <c r="B36" i="11"/>
  <c r="G36" i="11"/>
  <c r="J36" i="11"/>
  <c r="Q36" i="11"/>
  <c r="R36" i="11"/>
  <c r="S36" i="11"/>
  <c r="G37" i="11"/>
  <c r="H37" i="11"/>
  <c r="F37" i="11"/>
  <c r="K37" i="11"/>
  <c r="M37" i="11"/>
  <c r="P37" i="11"/>
  <c r="R37" i="11"/>
  <c r="X37" i="11"/>
  <c r="F38" i="11"/>
  <c r="G38" i="11"/>
  <c r="H38" i="11"/>
  <c r="K38" i="11"/>
  <c r="M38" i="11"/>
  <c r="O38" i="11"/>
  <c r="W38" i="11" s="1"/>
  <c r="P38" i="11"/>
  <c r="R38" i="11"/>
  <c r="X38" i="11"/>
  <c r="F39" i="11"/>
  <c r="H39" i="11"/>
  <c r="K39" i="11"/>
  <c r="Y39" i="11"/>
  <c r="M39" i="11"/>
  <c r="P39" i="11"/>
  <c r="O39" i="11" s="1"/>
  <c r="R39" i="11"/>
  <c r="X39" i="11"/>
  <c r="H40" i="11"/>
  <c r="F40" i="11" s="1"/>
  <c r="W40" i="11" s="1"/>
  <c r="K40" i="11"/>
  <c r="Y40" i="11" s="1"/>
  <c r="N40" i="11"/>
  <c r="M40" i="11" s="1"/>
  <c r="N36" i="11"/>
  <c r="P40" i="11"/>
  <c r="O40" i="11" s="1"/>
  <c r="R40" i="11"/>
  <c r="T40" i="11"/>
  <c r="X40" i="11"/>
  <c r="E41" i="11"/>
  <c r="E36" i="11"/>
  <c r="H41" i="11"/>
  <c r="F41" i="11" s="1"/>
  <c r="K41" i="11"/>
  <c r="Y41" i="11" s="1"/>
  <c r="L41" i="11"/>
  <c r="L36" i="11" s="1"/>
  <c r="M41" i="11"/>
  <c r="O41" i="11"/>
  <c r="P41" i="11"/>
  <c r="R41" i="11"/>
  <c r="X41" i="11"/>
  <c r="B42" i="11"/>
  <c r="E42" i="11"/>
  <c r="J42" i="11"/>
  <c r="X42" i="11" s="1"/>
  <c r="M42" i="11"/>
  <c r="Q42" i="11"/>
  <c r="R42" i="11"/>
  <c r="F43" i="11"/>
  <c r="W43" i="11" s="1"/>
  <c r="H43" i="11"/>
  <c r="K43" i="11"/>
  <c r="M43" i="11"/>
  <c r="O43" i="11"/>
  <c r="P43" i="11"/>
  <c r="R43" i="11"/>
  <c r="Y43" i="11" s="1"/>
  <c r="X43" i="11"/>
  <c r="L44" i="11"/>
  <c r="H44" i="11" s="1"/>
  <c r="F44" i="11" s="1"/>
  <c r="M44" i="11"/>
  <c r="P44" i="11"/>
  <c r="P42" i="11" s="1"/>
  <c r="O42" i="11" s="1"/>
  <c r="R44" i="11"/>
  <c r="X44" i="11"/>
  <c r="H45" i="11"/>
  <c r="F45" i="11" s="1"/>
  <c r="W45" i="11" s="1"/>
  <c r="K45" i="11"/>
  <c r="M45" i="11"/>
  <c r="P45" i="11"/>
  <c r="O45" i="11" s="1"/>
  <c r="R45" i="11"/>
  <c r="X45" i="11"/>
  <c r="B46" i="11"/>
  <c r="E46" i="11"/>
  <c r="G46" i="11"/>
  <c r="W46" i="11"/>
  <c r="J46" i="11"/>
  <c r="X46" i="11" s="1"/>
  <c r="L46" i="11"/>
  <c r="H46" i="11" s="1"/>
  <c r="F46" i="11" s="1"/>
  <c r="M46" i="11"/>
  <c r="N46" i="11"/>
  <c r="P46" i="11"/>
  <c r="O46" i="11" s="1"/>
  <c r="R46" i="11"/>
  <c r="H47" i="11"/>
  <c r="F47" i="11" s="1"/>
  <c r="K47" i="11"/>
  <c r="Y47" i="11" s="1"/>
  <c r="M47" i="11"/>
  <c r="O47" i="11"/>
  <c r="P47" i="11"/>
  <c r="R47" i="11"/>
  <c r="X47" i="11"/>
  <c r="F48" i="11"/>
  <c r="W48" i="11" s="1"/>
  <c r="H48" i="11"/>
  <c r="K48" i="11"/>
  <c r="M48" i="11"/>
  <c r="O48" i="11"/>
  <c r="P48" i="11"/>
  <c r="R48" i="11"/>
  <c r="X48" i="11"/>
  <c r="Y48" i="11"/>
  <c r="B49" i="11"/>
  <c r="E49" i="11"/>
  <c r="G49" i="11"/>
  <c r="H49" i="11"/>
  <c r="F49" i="11" s="1"/>
  <c r="J49" i="11"/>
  <c r="X49" i="11"/>
  <c r="K49" i="11"/>
  <c r="L49" i="11"/>
  <c r="Q49" i="11"/>
  <c r="R49" i="11"/>
  <c r="S49" i="11"/>
  <c r="T49" i="11"/>
  <c r="G50" i="11"/>
  <c r="H50" i="11"/>
  <c r="F50" i="11" s="1"/>
  <c r="K50" i="11"/>
  <c r="M50" i="11"/>
  <c r="N50" i="11"/>
  <c r="P50" i="11"/>
  <c r="O50" i="11" s="1"/>
  <c r="R50" i="11"/>
  <c r="Y50" i="11" s="1"/>
  <c r="X50" i="11"/>
  <c r="G51" i="11"/>
  <c r="H51" i="11"/>
  <c r="F51" i="11" s="1"/>
  <c r="W51" i="11" s="1"/>
  <c r="K51" i="11"/>
  <c r="M51" i="11"/>
  <c r="N51" i="11"/>
  <c r="P51" i="11"/>
  <c r="O51" i="11"/>
  <c r="R51" i="11"/>
  <c r="Y51" i="11" s="1"/>
  <c r="X51" i="11"/>
  <c r="D52" i="11"/>
  <c r="C52" i="11"/>
  <c r="F52" i="11"/>
  <c r="H52" i="11"/>
  <c r="K52" i="11"/>
  <c r="M52" i="11"/>
  <c r="O52" i="11"/>
  <c r="P52" i="11"/>
  <c r="R52" i="11"/>
  <c r="V52" i="11"/>
  <c r="W52" i="11"/>
  <c r="X52" i="11"/>
  <c r="Y52" i="11"/>
  <c r="B53" i="11"/>
  <c r="G53" i="11"/>
  <c r="J53" i="11"/>
  <c r="X53" i="11" s="1"/>
  <c r="L53" i="11"/>
  <c r="K53" i="11" s="1"/>
  <c r="Q53" i="11"/>
  <c r="S53" i="11"/>
  <c r="R53" i="11" s="1"/>
  <c r="H54" i="11"/>
  <c r="F54" i="11" s="1"/>
  <c r="K54" i="11"/>
  <c r="Y54" i="11" s="1"/>
  <c r="M54" i="11"/>
  <c r="P54" i="11"/>
  <c r="O54" i="11" s="1"/>
  <c r="R54" i="11"/>
  <c r="X54" i="11"/>
  <c r="H55" i="11"/>
  <c r="F55" i="11" s="1"/>
  <c r="K55" i="11"/>
  <c r="M55" i="11"/>
  <c r="P55" i="11"/>
  <c r="O55" i="11" s="1"/>
  <c r="R55" i="11"/>
  <c r="Y55" i="11" s="1"/>
  <c r="W55" i="11"/>
  <c r="X55" i="11"/>
  <c r="H56" i="11"/>
  <c r="F56" i="11" s="1"/>
  <c r="W56" i="11" s="1"/>
  <c r="K56" i="11"/>
  <c r="Y56" i="11" s="1"/>
  <c r="M56" i="11"/>
  <c r="N56" i="11"/>
  <c r="O56" i="11"/>
  <c r="P56" i="11"/>
  <c r="R56" i="11"/>
  <c r="T56" i="11"/>
  <c r="X56" i="11"/>
  <c r="F57" i="11"/>
  <c r="W57" i="11" s="1"/>
  <c r="H57" i="11"/>
  <c r="K57" i="11"/>
  <c r="N57" i="11"/>
  <c r="O57" i="11"/>
  <c r="P57" i="11"/>
  <c r="R57" i="11"/>
  <c r="Y57" i="11"/>
  <c r="T57" i="11"/>
  <c r="T53" i="11" s="1"/>
  <c r="X57" i="11"/>
  <c r="D58" i="11"/>
  <c r="C58" i="11" s="1"/>
  <c r="V58" i="11" s="1"/>
  <c r="H58" i="11"/>
  <c r="F58" i="11" s="1"/>
  <c r="W58" i="11" s="1"/>
  <c r="K58" i="11"/>
  <c r="M58" i="11"/>
  <c r="P58" i="11"/>
  <c r="O58" i="11" s="1"/>
  <c r="R58" i="11"/>
  <c r="X58" i="11"/>
  <c r="Y58" i="11"/>
  <c r="D59" i="11"/>
  <c r="C59" i="11" s="1"/>
  <c r="F59" i="11"/>
  <c r="H59" i="11"/>
  <c r="K59" i="11"/>
  <c r="Y59" i="11" s="1"/>
  <c r="M59" i="11"/>
  <c r="O59" i="11"/>
  <c r="P59" i="11"/>
  <c r="R59" i="11"/>
  <c r="W59" i="11"/>
  <c r="X59" i="11"/>
  <c r="V60" i="11"/>
  <c r="D60" i="11"/>
  <c r="C60" i="11" s="1"/>
  <c r="H60" i="11"/>
  <c r="F60" i="11"/>
  <c r="K60" i="11"/>
  <c r="M60" i="11"/>
  <c r="P60" i="11"/>
  <c r="R60" i="11"/>
  <c r="X60" i="11"/>
  <c r="H61" i="11"/>
  <c r="F61" i="11" s="1"/>
  <c r="K61" i="11"/>
  <c r="Y61" i="11" s="1"/>
  <c r="M61" i="11"/>
  <c r="P61" i="11"/>
  <c r="O61" i="11" s="1"/>
  <c r="R61" i="11"/>
  <c r="X61" i="11"/>
  <c r="C62" i="11"/>
  <c r="V62" i="11" s="1"/>
  <c r="D62" i="11"/>
  <c r="H62" i="11"/>
  <c r="F62" i="11" s="1"/>
  <c r="K62" i="11"/>
  <c r="M62" i="11"/>
  <c r="P62" i="11"/>
  <c r="O62" i="11" s="1"/>
  <c r="R62" i="11"/>
  <c r="X62" i="11"/>
  <c r="Y62" i="11"/>
  <c r="H63" i="11"/>
  <c r="F63" i="11" s="1"/>
  <c r="W63" i="11" s="1"/>
  <c r="K63" i="11"/>
  <c r="M63" i="11"/>
  <c r="P63" i="11"/>
  <c r="O63" i="11"/>
  <c r="R63" i="11"/>
  <c r="X63" i="11"/>
  <c r="D64" i="11"/>
  <c r="C64" i="11"/>
  <c r="F64" i="11"/>
  <c r="H64" i="11"/>
  <c r="K64" i="11"/>
  <c r="M64" i="11"/>
  <c r="O64" i="11"/>
  <c r="P64" i="11"/>
  <c r="R64" i="11"/>
  <c r="V64" i="11"/>
  <c r="W64" i="11"/>
  <c r="X64" i="11"/>
  <c r="Y64" i="11"/>
  <c r="W65" i="11"/>
  <c r="H65" i="11"/>
  <c r="F65" i="11" s="1"/>
  <c r="K65" i="11"/>
  <c r="M65" i="11"/>
  <c r="O65" i="11"/>
  <c r="P65" i="11"/>
  <c r="R65" i="11"/>
  <c r="Y65" i="11" s="1"/>
  <c r="X65" i="11"/>
  <c r="E66" i="11"/>
  <c r="H66" i="11"/>
  <c r="F66" i="11" s="1"/>
  <c r="K66" i="11"/>
  <c r="Y66" i="11" s="1"/>
  <c r="M66" i="11"/>
  <c r="P66" i="11"/>
  <c r="O66" i="11" s="1"/>
  <c r="R66" i="11"/>
  <c r="X66" i="11"/>
  <c r="B67" i="11"/>
  <c r="E67" i="11"/>
  <c r="G67" i="11"/>
  <c r="J67" i="11"/>
  <c r="X67" i="11"/>
  <c r="M67" i="11"/>
  <c r="P67" i="11"/>
  <c r="O67" i="11" s="1"/>
  <c r="R67" i="11"/>
  <c r="F68" i="11"/>
  <c r="W68" i="11" s="1"/>
  <c r="H68" i="11"/>
  <c r="K68" i="11"/>
  <c r="Y68" i="11"/>
  <c r="M68" i="11"/>
  <c r="P68" i="11"/>
  <c r="O68" i="11" s="1"/>
  <c r="R68" i="11"/>
  <c r="X68" i="11"/>
  <c r="E69" i="11"/>
  <c r="D69" i="11"/>
  <c r="C69" i="11"/>
  <c r="F69" i="11"/>
  <c r="H69" i="11"/>
  <c r="K69" i="11"/>
  <c r="M69" i="11"/>
  <c r="O69" i="11"/>
  <c r="P69" i="11"/>
  <c r="R69" i="11"/>
  <c r="V69" i="11"/>
  <c r="W69" i="11"/>
  <c r="X69" i="11"/>
  <c r="Y69" i="11"/>
  <c r="L70" i="11"/>
  <c r="K70" i="11" s="1"/>
  <c r="Y70" i="11" s="1"/>
  <c r="M70" i="11"/>
  <c r="P70" i="11"/>
  <c r="O70" i="11" s="1"/>
  <c r="R70" i="11"/>
  <c r="X70" i="11"/>
  <c r="R72" i="11"/>
  <c r="S72" i="11"/>
  <c r="B73" i="11"/>
  <c r="G73" i="11"/>
  <c r="J73" i="11"/>
  <c r="J72" i="11" s="1"/>
  <c r="X72" i="11" s="1"/>
  <c r="K73" i="11"/>
  <c r="Y73" i="11" s="1"/>
  <c r="L73" i="11"/>
  <c r="H73" i="11"/>
  <c r="F73" i="11"/>
  <c r="R73" i="11"/>
  <c r="F74" i="11"/>
  <c r="G74" i="11"/>
  <c r="H74" i="11"/>
  <c r="K74" i="11"/>
  <c r="M74" i="11"/>
  <c r="P74" i="11"/>
  <c r="O74" i="11" s="1"/>
  <c r="W74" i="11" s="1"/>
  <c r="R74" i="11"/>
  <c r="Y74" i="11" s="1"/>
  <c r="X74" i="11"/>
  <c r="C75" i="11"/>
  <c r="H75" i="11"/>
  <c r="M75" i="11"/>
  <c r="O75" i="11"/>
  <c r="P75" i="11"/>
  <c r="R75" i="11"/>
  <c r="V75" i="11"/>
  <c r="W75" i="11"/>
  <c r="X75" i="11"/>
  <c r="Y75" i="11"/>
  <c r="G76" i="11"/>
  <c r="H76" i="11"/>
  <c r="F76" i="11" s="1"/>
  <c r="W76" i="11" s="1"/>
  <c r="K76" i="11"/>
  <c r="M76" i="11"/>
  <c r="P76" i="11"/>
  <c r="O76" i="11"/>
  <c r="R76" i="11"/>
  <c r="X76" i="11"/>
  <c r="G77" i="11"/>
  <c r="H77" i="11"/>
  <c r="F77" i="11" s="1"/>
  <c r="K77" i="11"/>
  <c r="M77" i="11"/>
  <c r="O77" i="11"/>
  <c r="P77" i="11"/>
  <c r="R77" i="11"/>
  <c r="X77" i="11"/>
  <c r="Y77" i="11"/>
  <c r="E78" i="11"/>
  <c r="G78" i="11"/>
  <c r="H78" i="11"/>
  <c r="F78" i="11" s="1"/>
  <c r="W78" i="11" s="1"/>
  <c r="K78" i="11"/>
  <c r="N78" i="11"/>
  <c r="P78" i="11"/>
  <c r="O78" i="11"/>
  <c r="R78" i="11"/>
  <c r="T78" i="11"/>
  <c r="T73" i="11" s="1"/>
  <c r="T72" i="11" s="1"/>
  <c r="X78" i="11"/>
  <c r="F79" i="11"/>
  <c r="H79" i="11"/>
  <c r="K79" i="11"/>
  <c r="M79" i="11"/>
  <c r="O79" i="11"/>
  <c r="P79" i="11"/>
  <c r="R79" i="11"/>
  <c r="X79" i="11"/>
  <c r="G80" i="11"/>
  <c r="H80" i="11"/>
  <c r="F80" i="11"/>
  <c r="K80" i="11"/>
  <c r="Y80" i="11" s="1"/>
  <c r="M80" i="11"/>
  <c r="P80" i="11"/>
  <c r="O80" i="11"/>
  <c r="W80" i="11" s="1"/>
  <c r="R80" i="11"/>
  <c r="X80" i="11"/>
  <c r="G81" i="11"/>
  <c r="H81" i="11"/>
  <c r="F81" i="11" s="1"/>
  <c r="K81" i="11"/>
  <c r="M81" i="11"/>
  <c r="P81" i="11"/>
  <c r="O81" i="11" s="1"/>
  <c r="R81" i="11"/>
  <c r="X81" i="11"/>
  <c r="D82" i="11"/>
  <c r="C82" i="11" s="1"/>
  <c r="V82" i="11" s="1"/>
  <c r="H82" i="11"/>
  <c r="F82" i="11" s="1"/>
  <c r="K82" i="11"/>
  <c r="M82" i="11"/>
  <c r="P82" i="11"/>
  <c r="O82" i="11" s="1"/>
  <c r="R82" i="11"/>
  <c r="X82" i="11"/>
  <c r="Y82" i="11"/>
  <c r="H83" i="11"/>
  <c r="F83" i="11"/>
  <c r="K83" i="11"/>
  <c r="Y83" i="11" s="1"/>
  <c r="M83" i="11"/>
  <c r="P83" i="11"/>
  <c r="O83" i="11"/>
  <c r="R83" i="11"/>
  <c r="X83" i="11"/>
  <c r="B84" i="11"/>
  <c r="B72" i="11" s="1"/>
  <c r="E84" i="11"/>
  <c r="I84" i="11"/>
  <c r="I72" i="11"/>
  <c r="I121" i="11" s="1"/>
  <c r="J84" i="11"/>
  <c r="X84" i="11" s="1"/>
  <c r="L84" i="11"/>
  <c r="H84" i="11" s="1"/>
  <c r="K84" i="11"/>
  <c r="Y84" i="11"/>
  <c r="M84" i="11"/>
  <c r="R84" i="11"/>
  <c r="D85" i="11"/>
  <c r="C85" i="11" s="1"/>
  <c r="V85" i="11" s="1"/>
  <c r="G85" i="11"/>
  <c r="G84" i="11" s="1"/>
  <c r="G72" i="11" s="1"/>
  <c r="G121" i="11" s="1"/>
  <c r="H85" i="11"/>
  <c r="F85" i="11" s="1"/>
  <c r="K85" i="11"/>
  <c r="M85" i="11"/>
  <c r="O85" i="11"/>
  <c r="P85" i="11"/>
  <c r="R85" i="11"/>
  <c r="X85" i="11"/>
  <c r="G86" i="11"/>
  <c r="H86" i="11"/>
  <c r="F86" i="11"/>
  <c r="K86" i="11"/>
  <c r="M86" i="11"/>
  <c r="P86" i="11"/>
  <c r="R86" i="11"/>
  <c r="X86" i="11"/>
  <c r="F87" i="11"/>
  <c r="G87" i="11"/>
  <c r="H87" i="11"/>
  <c r="K87" i="11"/>
  <c r="Y87" i="11" s="1"/>
  <c r="M87" i="11"/>
  <c r="P87" i="11"/>
  <c r="O87" i="11"/>
  <c r="W87" i="11" s="1"/>
  <c r="R87" i="11"/>
  <c r="X87" i="11"/>
  <c r="F88" i="11"/>
  <c r="G88" i="11"/>
  <c r="H88" i="11"/>
  <c r="K88" i="11"/>
  <c r="M88" i="11"/>
  <c r="O88" i="11"/>
  <c r="P88" i="11"/>
  <c r="R88" i="11"/>
  <c r="X88" i="11"/>
  <c r="Y88" i="11"/>
  <c r="G89" i="11"/>
  <c r="H89" i="11"/>
  <c r="F89" i="11" s="1"/>
  <c r="W89" i="11" s="1"/>
  <c r="K89" i="11"/>
  <c r="M89" i="11"/>
  <c r="P89" i="11"/>
  <c r="O89" i="11" s="1"/>
  <c r="R89" i="11"/>
  <c r="X89" i="11"/>
  <c r="Y89" i="11"/>
  <c r="G90" i="11"/>
  <c r="H90" i="11"/>
  <c r="F90" i="11"/>
  <c r="K90" i="11"/>
  <c r="M90" i="11"/>
  <c r="P90" i="11"/>
  <c r="O90" i="11"/>
  <c r="R90" i="11"/>
  <c r="X90" i="11"/>
  <c r="G91" i="11"/>
  <c r="H91" i="11"/>
  <c r="F91" i="11" s="1"/>
  <c r="K91" i="11"/>
  <c r="M91" i="11"/>
  <c r="P91" i="11"/>
  <c r="O91" i="11"/>
  <c r="R91" i="11"/>
  <c r="X91" i="11"/>
  <c r="Y91" i="11"/>
  <c r="G92" i="11"/>
  <c r="H92" i="11"/>
  <c r="F92" i="11"/>
  <c r="K92" i="11"/>
  <c r="Y92" i="11" s="1"/>
  <c r="M92" i="11"/>
  <c r="P92" i="11"/>
  <c r="O92" i="11"/>
  <c r="R92" i="11"/>
  <c r="X92" i="11"/>
  <c r="F93" i="11"/>
  <c r="G93" i="11"/>
  <c r="H93" i="11"/>
  <c r="K93" i="11"/>
  <c r="M93" i="11"/>
  <c r="P93" i="11"/>
  <c r="O93" i="11" s="1"/>
  <c r="W93" i="11" s="1"/>
  <c r="R93" i="11"/>
  <c r="X93" i="11"/>
  <c r="Y93" i="11"/>
  <c r="B95" i="11"/>
  <c r="I95" i="11"/>
  <c r="J95" i="11"/>
  <c r="L95" i="11"/>
  <c r="K95" i="11"/>
  <c r="Q95" i="11"/>
  <c r="S95" i="11"/>
  <c r="R95" i="11"/>
  <c r="T95" i="11"/>
  <c r="E96" i="11"/>
  <c r="E95" i="11" s="1"/>
  <c r="G96" i="11"/>
  <c r="G95" i="11"/>
  <c r="H96" i="11"/>
  <c r="F96" i="11" s="1"/>
  <c r="K96" i="11"/>
  <c r="M96" i="11"/>
  <c r="O96" i="11"/>
  <c r="P96" i="11"/>
  <c r="R96" i="11"/>
  <c r="X96" i="11"/>
  <c r="Y96" i="11"/>
  <c r="G97" i="11"/>
  <c r="H97" i="11"/>
  <c r="K97" i="11"/>
  <c r="M97" i="11"/>
  <c r="P97" i="11"/>
  <c r="R97" i="11"/>
  <c r="X97" i="11"/>
  <c r="Y97" i="11"/>
  <c r="G98" i="11"/>
  <c r="H98" i="11"/>
  <c r="F98" i="11"/>
  <c r="K98" i="11"/>
  <c r="M98" i="11"/>
  <c r="P98" i="11"/>
  <c r="O98" i="11"/>
  <c r="R98" i="11"/>
  <c r="X98" i="11"/>
  <c r="G99" i="11"/>
  <c r="H99" i="11"/>
  <c r="F99" i="11" s="1"/>
  <c r="W99" i="11" s="1"/>
  <c r="K99" i="11"/>
  <c r="N99" i="11"/>
  <c r="P99" i="11"/>
  <c r="O99" i="11"/>
  <c r="R99" i="11"/>
  <c r="T99" i="11"/>
  <c r="X99" i="11"/>
  <c r="G100" i="11"/>
  <c r="H100" i="11"/>
  <c r="K100" i="11"/>
  <c r="M100" i="11"/>
  <c r="P100" i="11"/>
  <c r="O100" i="11" s="1"/>
  <c r="R100" i="11"/>
  <c r="X100" i="11"/>
  <c r="B102" i="11"/>
  <c r="I102" i="11"/>
  <c r="J102" i="11"/>
  <c r="L102" i="11"/>
  <c r="Q102" i="11"/>
  <c r="S102" i="11"/>
  <c r="R102" i="11" s="1"/>
  <c r="X102" i="11"/>
  <c r="G103" i="11"/>
  <c r="H103" i="11"/>
  <c r="K103" i="11"/>
  <c r="Y103" i="11" s="1"/>
  <c r="N103" i="11"/>
  <c r="P103" i="11"/>
  <c r="R103" i="11"/>
  <c r="T103" i="11"/>
  <c r="T102" i="11" s="1"/>
  <c r="X103" i="11"/>
  <c r="G104" i="11"/>
  <c r="H104" i="11"/>
  <c r="F104" i="11" s="1"/>
  <c r="K104" i="11"/>
  <c r="M104" i="11"/>
  <c r="P104" i="11"/>
  <c r="O104" i="11" s="1"/>
  <c r="R104" i="11"/>
  <c r="X104" i="11"/>
  <c r="Y104" i="11"/>
  <c r="G105" i="11"/>
  <c r="G102" i="11" s="1"/>
  <c r="H105" i="11"/>
  <c r="F105" i="11" s="1"/>
  <c r="K105" i="11"/>
  <c r="M105" i="11"/>
  <c r="P105" i="11"/>
  <c r="O105" i="11" s="1"/>
  <c r="R105" i="11"/>
  <c r="T105" i="11"/>
  <c r="X105" i="11"/>
  <c r="Y105" i="11"/>
  <c r="E106" i="11"/>
  <c r="G106" i="11"/>
  <c r="H106" i="11"/>
  <c r="F106" i="11" s="1"/>
  <c r="W106" i="11" s="1"/>
  <c r="K106" i="11"/>
  <c r="N106" i="11"/>
  <c r="M106" i="11" s="1"/>
  <c r="P106" i="11"/>
  <c r="O106" i="11" s="1"/>
  <c r="R106" i="11"/>
  <c r="T106" i="11"/>
  <c r="X106" i="11"/>
  <c r="B108" i="11"/>
  <c r="E108" i="11"/>
  <c r="I108" i="11"/>
  <c r="J108" i="11"/>
  <c r="X108" i="11" s="1"/>
  <c r="L108" i="11"/>
  <c r="K108" i="11"/>
  <c r="R108" i="11"/>
  <c r="S108" i="11"/>
  <c r="G109" i="11"/>
  <c r="H109" i="11"/>
  <c r="F109" i="11" s="1"/>
  <c r="K109" i="11"/>
  <c r="M109" i="11"/>
  <c r="P109" i="11"/>
  <c r="O109" i="11" s="1"/>
  <c r="R109" i="11"/>
  <c r="X109" i="11"/>
  <c r="Y109" i="11"/>
  <c r="G110" i="11"/>
  <c r="H110" i="11"/>
  <c r="F110" i="11" s="1"/>
  <c r="K110" i="11"/>
  <c r="Y110" i="11" s="1"/>
  <c r="M110" i="11"/>
  <c r="P110" i="11"/>
  <c r="O110" i="11" s="1"/>
  <c r="R110" i="11"/>
  <c r="X110" i="11"/>
  <c r="H111" i="11"/>
  <c r="F111" i="11" s="1"/>
  <c r="K111" i="11"/>
  <c r="M111" i="11"/>
  <c r="P111" i="11"/>
  <c r="O111" i="11" s="1"/>
  <c r="R111" i="11"/>
  <c r="X111" i="11"/>
  <c r="F112" i="11"/>
  <c r="G112" i="11"/>
  <c r="H112" i="11"/>
  <c r="K112" i="11"/>
  <c r="M112" i="11"/>
  <c r="O112" i="11"/>
  <c r="P112" i="11"/>
  <c r="R112" i="11"/>
  <c r="X112" i="11"/>
  <c r="Y112" i="11"/>
  <c r="G113" i="11"/>
  <c r="H113" i="11"/>
  <c r="F113" i="11"/>
  <c r="W113" i="11" s="1"/>
  <c r="K113" i="11"/>
  <c r="N113" i="11"/>
  <c r="M113" i="11"/>
  <c r="O113" i="11"/>
  <c r="P113" i="11"/>
  <c r="R113" i="11"/>
  <c r="T113" i="11"/>
  <c r="T108" i="11" s="1"/>
  <c r="X113" i="11"/>
  <c r="Y113" i="11"/>
  <c r="F114" i="11"/>
  <c r="G114" i="11"/>
  <c r="H114" i="11"/>
  <c r="K114" i="11"/>
  <c r="M114" i="11"/>
  <c r="P114" i="11"/>
  <c r="O114" i="11" s="1"/>
  <c r="R114" i="11"/>
  <c r="X114" i="11"/>
  <c r="F115" i="11"/>
  <c r="D116" i="11"/>
  <c r="C116" i="11" s="1"/>
  <c r="G116" i="11"/>
  <c r="I116" i="11"/>
  <c r="L116" i="11"/>
  <c r="K116" i="11" s="1"/>
  <c r="Y116" i="11" s="1"/>
  <c r="Q116" i="11"/>
  <c r="S116" i="11"/>
  <c r="R116" i="11"/>
  <c r="T116" i="11"/>
  <c r="U116" i="11"/>
  <c r="X116" i="11"/>
  <c r="C117" i="11"/>
  <c r="H117" i="11"/>
  <c r="F117" i="11"/>
  <c r="K117" i="11"/>
  <c r="Y117" i="11" s="1"/>
  <c r="N117" i="11"/>
  <c r="N116" i="11"/>
  <c r="P117" i="11"/>
  <c r="O117" i="11" s="1"/>
  <c r="R117" i="11"/>
  <c r="T117" i="11"/>
  <c r="W117" i="11"/>
  <c r="X117" i="11"/>
  <c r="F118" i="11"/>
  <c r="H119" i="11"/>
  <c r="F119" i="11" s="1"/>
  <c r="X119" i="11"/>
  <c r="Y119" i="11"/>
  <c r="D120" i="11"/>
  <c r="C120" i="11" s="1"/>
  <c r="V120" i="11" s="1"/>
  <c r="H120" i="11"/>
  <c r="F120" i="11"/>
  <c r="K120" i="11"/>
  <c r="M120" i="11"/>
  <c r="P120" i="11"/>
  <c r="O120" i="11"/>
  <c r="R120" i="11"/>
  <c r="X120" i="11"/>
  <c r="N113" i="10"/>
  <c r="N57" i="10"/>
  <c r="N40" i="10"/>
  <c r="N36" i="10" s="1"/>
  <c r="N51" i="10"/>
  <c r="N56" i="10"/>
  <c r="N53" i="10"/>
  <c r="N78" i="10"/>
  <c r="N99" i="10"/>
  <c r="N117" i="10"/>
  <c r="N103" i="10"/>
  <c r="N50" i="10"/>
  <c r="M50" i="10" s="1"/>
  <c r="N106" i="10"/>
  <c r="N105" i="10"/>
  <c r="N102" i="10" s="1"/>
  <c r="M102" i="10" s="1"/>
  <c r="N12" i="10"/>
  <c r="N9" i="10" s="1"/>
  <c r="M9" i="10" s="1"/>
  <c r="N31" i="10"/>
  <c r="N28" i="10"/>
  <c r="N20" i="10" s="1"/>
  <c r="M20" i="10" s="1"/>
  <c r="N46" i="10"/>
  <c r="N42" i="10"/>
  <c r="T105" i="10"/>
  <c r="T56" i="10"/>
  <c r="T40" i="10"/>
  <c r="T103" i="10"/>
  <c r="T113" i="10"/>
  <c r="T117" i="10"/>
  <c r="T106" i="10"/>
  <c r="T99" i="10"/>
  <c r="T78" i="10"/>
  <c r="T73" i="10" s="1"/>
  <c r="T57" i="10"/>
  <c r="P117" i="10"/>
  <c r="P110" i="10"/>
  <c r="P111" i="10"/>
  <c r="P112" i="10"/>
  <c r="P113" i="10"/>
  <c r="P114" i="10"/>
  <c r="P109" i="10"/>
  <c r="P104" i="10"/>
  <c r="P105" i="10"/>
  <c r="P106" i="10"/>
  <c r="P103" i="10"/>
  <c r="P97" i="10"/>
  <c r="P98" i="10"/>
  <c r="P99" i="10"/>
  <c r="P100" i="10"/>
  <c r="P96" i="10"/>
  <c r="P86" i="10"/>
  <c r="P87" i="10"/>
  <c r="P88" i="10"/>
  <c r="P89" i="10"/>
  <c r="P90" i="10"/>
  <c r="P91" i="10"/>
  <c r="P92" i="10"/>
  <c r="P85" i="10"/>
  <c r="P75" i="10"/>
  <c r="P76" i="10"/>
  <c r="P77" i="10"/>
  <c r="P78" i="10"/>
  <c r="P79" i="10"/>
  <c r="P80" i="10"/>
  <c r="P81" i="10"/>
  <c r="P82" i="10"/>
  <c r="P83" i="10"/>
  <c r="P74" i="10"/>
  <c r="P73" i="10" s="1"/>
  <c r="P68" i="10"/>
  <c r="P69" i="10"/>
  <c r="P70" i="10"/>
  <c r="P67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54" i="10"/>
  <c r="P51" i="10"/>
  <c r="P52" i="10"/>
  <c r="P50" i="10"/>
  <c r="P44" i="10"/>
  <c r="O44" i="10" s="1"/>
  <c r="P45" i="10"/>
  <c r="O45" i="10" s="1"/>
  <c r="P46" i="10"/>
  <c r="P47" i="10"/>
  <c r="P48" i="10"/>
  <c r="O48" i="10" s="1"/>
  <c r="P43" i="10"/>
  <c r="P42" i="10"/>
  <c r="O42" i="10" s="1"/>
  <c r="P38" i="10"/>
  <c r="P39" i="10"/>
  <c r="P40" i="10"/>
  <c r="P41" i="10"/>
  <c r="P37" i="10"/>
  <c r="O37" i="10"/>
  <c r="P33" i="10"/>
  <c r="O33" i="10" s="1"/>
  <c r="P34" i="10"/>
  <c r="P35" i="10"/>
  <c r="P32" i="10"/>
  <c r="P30" i="10"/>
  <c r="P29" i="10"/>
  <c r="P22" i="10"/>
  <c r="O22" i="10"/>
  <c r="P23" i="10"/>
  <c r="P24" i="10"/>
  <c r="P25" i="10"/>
  <c r="P26" i="10"/>
  <c r="O26" i="10" s="1"/>
  <c r="P27" i="10"/>
  <c r="P21" i="10"/>
  <c r="B9" i="10"/>
  <c r="I9" i="10"/>
  <c r="Y9" i="10"/>
  <c r="S9" i="10"/>
  <c r="R9" i="10" s="1"/>
  <c r="T9" i="10"/>
  <c r="G10" i="10"/>
  <c r="H10" i="10"/>
  <c r="F10" i="10"/>
  <c r="K10" i="10"/>
  <c r="M10" i="10"/>
  <c r="P10" i="10"/>
  <c r="O10" i="10" s="1"/>
  <c r="W10" i="10" s="1"/>
  <c r="R10" i="10"/>
  <c r="X10" i="10"/>
  <c r="G11" i="10"/>
  <c r="H11" i="10"/>
  <c r="F11" i="10" s="1"/>
  <c r="W11" i="10" s="1"/>
  <c r="K11" i="10"/>
  <c r="M11" i="10"/>
  <c r="P11" i="10"/>
  <c r="O11" i="10" s="1"/>
  <c r="R11" i="10"/>
  <c r="Y11" i="10" s="1"/>
  <c r="X11" i="10"/>
  <c r="G12" i="10"/>
  <c r="J12" i="10"/>
  <c r="K12" i="10"/>
  <c r="Y12" i="10" s="1"/>
  <c r="L12" i="10"/>
  <c r="L9" i="10" s="1"/>
  <c r="K9" i="10" s="1"/>
  <c r="M12" i="10"/>
  <c r="O12" i="10"/>
  <c r="P12" i="10"/>
  <c r="R12" i="10"/>
  <c r="E13" i="10"/>
  <c r="E12" i="10" s="1"/>
  <c r="E9" i="10" s="1"/>
  <c r="G13" i="10"/>
  <c r="H13" i="10"/>
  <c r="F13" i="10"/>
  <c r="K13" i="10"/>
  <c r="M13" i="10"/>
  <c r="P13" i="10"/>
  <c r="O13" i="10" s="1"/>
  <c r="R13" i="10"/>
  <c r="X13" i="10"/>
  <c r="E14" i="10"/>
  <c r="G14" i="10"/>
  <c r="H14" i="10"/>
  <c r="F14" i="10" s="1"/>
  <c r="K14" i="10"/>
  <c r="M14" i="10"/>
  <c r="O14" i="10"/>
  <c r="P14" i="10"/>
  <c r="R14" i="10"/>
  <c r="X14" i="10"/>
  <c r="Y14" i="10"/>
  <c r="G15" i="10"/>
  <c r="H15" i="10"/>
  <c r="F15" i="10"/>
  <c r="W15" i="10" s="1"/>
  <c r="K15" i="10"/>
  <c r="M15" i="10"/>
  <c r="P15" i="10"/>
  <c r="O15" i="10" s="1"/>
  <c r="R15" i="10"/>
  <c r="X15" i="10"/>
  <c r="G16" i="10"/>
  <c r="H16" i="10"/>
  <c r="F16" i="10" s="1"/>
  <c r="W16" i="10" s="1"/>
  <c r="K16" i="10"/>
  <c r="M16" i="10"/>
  <c r="P16" i="10"/>
  <c r="O16" i="10"/>
  <c r="R16" i="10"/>
  <c r="X16" i="10"/>
  <c r="F17" i="10"/>
  <c r="G17" i="10"/>
  <c r="H17" i="10"/>
  <c r="K17" i="10"/>
  <c r="M17" i="10"/>
  <c r="O17" i="10"/>
  <c r="W17" i="10" s="1"/>
  <c r="P17" i="10"/>
  <c r="R17" i="10"/>
  <c r="X17" i="10"/>
  <c r="Y17" i="10"/>
  <c r="E18" i="10"/>
  <c r="F18" i="10"/>
  <c r="G18" i="10"/>
  <c r="H18" i="10"/>
  <c r="K18" i="10"/>
  <c r="Y18" i="10" s="1"/>
  <c r="M18" i="10"/>
  <c r="O18" i="10"/>
  <c r="W18" i="10" s="1"/>
  <c r="P18" i="10"/>
  <c r="R18" i="10"/>
  <c r="X18" i="10"/>
  <c r="I20" i="10"/>
  <c r="N49" i="10"/>
  <c r="Q36" i="10"/>
  <c r="Q42" i="10"/>
  <c r="Q49" i="10"/>
  <c r="Q20" i="10" s="1"/>
  <c r="Q53" i="10"/>
  <c r="T49" i="10"/>
  <c r="T53" i="10"/>
  <c r="B21" i="10"/>
  <c r="E21" i="10"/>
  <c r="G21" i="10"/>
  <c r="J21" i="10"/>
  <c r="L21" i="10"/>
  <c r="M21" i="10"/>
  <c r="O21" i="10"/>
  <c r="R21" i="10"/>
  <c r="X21" i="10"/>
  <c r="F22" i="10"/>
  <c r="W22" i="10" s="1"/>
  <c r="G22" i="10"/>
  <c r="H22" i="10"/>
  <c r="K22" i="10"/>
  <c r="M22" i="10"/>
  <c r="R22" i="10"/>
  <c r="X22" i="10"/>
  <c r="Y22" i="10"/>
  <c r="E23" i="10"/>
  <c r="G23" i="10"/>
  <c r="H23" i="10"/>
  <c r="F23" i="10" s="1"/>
  <c r="K23" i="10"/>
  <c r="M23" i="10"/>
  <c r="O23" i="10"/>
  <c r="R23" i="10"/>
  <c r="Y23" i="10" s="1"/>
  <c r="X23" i="10"/>
  <c r="F24" i="10"/>
  <c r="H24" i="10"/>
  <c r="K24" i="10"/>
  <c r="M24" i="10"/>
  <c r="O24" i="10"/>
  <c r="R24" i="10"/>
  <c r="X24" i="10"/>
  <c r="Y24" i="10"/>
  <c r="G25" i="10"/>
  <c r="H25" i="10"/>
  <c r="F25" i="10"/>
  <c r="K25" i="10"/>
  <c r="Y25" i="10" s="1"/>
  <c r="M25" i="10"/>
  <c r="O25" i="10"/>
  <c r="R25" i="10"/>
  <c r="X25" i="10"/>
  <c r="F26" i="10"/>
  <c r="W26" i="10"/>
  <c r="G26" i="10"/>
  <c r="H26" i="10"/>
  <c r="K26" i="10"/>
  <c r="M26" i="10"/>
  <c r="R26" i="10"/>
  <c r="X26" i="10"/>
  <c r="Y26" i="10"/>
  <c r="G27" i="10"/>
  <c r="H27" i="10"/>
  <c r="F27" i="10" s="1"/>
  <c r="W27" i="10" s="1"/>
  <c r="K27" i="10"/>
  <c r="M27" i="10"/>
  <c r="O27" i="10"/>
  <c r="R27" i="10"/>
  <c r="X27" i="10"/>
  <c r="B28" i="10"/>
  <c r="E28" i="10"/>
  <c r="G28" i="10"/>
  <c r="J28" i="10"/>
  <c r="X28" i="10" s="1"/>
  <c r="L28" i="10"/>
  <c r="M28" i="10"/>
  <c r="R28" i="10"/>
  <c r="H29" i="10"/>
  <c r="F29" i="10" s="1"/>
  <c r="K29" i="10"/>
  <c r="M29" i="10"/>
  <c r="R29" i="10"/>
  <c r="Y29" i="10" s="1"/>
  <c r="X29" i="10"/>
  <c r="H30" i="10"/>
  <c r="F30" i="10" s="1"/>
  <c r="K30" i="10"/>
  <c r="M30" i="10"/>
  <c r="O30" i="10"/>
  <c r="R30" i="10"/>
  <c r="Y30" i="10"/>
  <c r="X30" i="10"/>
  <c r="B31" i="10"/>
  <c r="B121" i="10" s="1"/>
  <c r="B8" i="10" s="1"/>
  <c r="G31" i="10"/>
  <c r="J31" i="10"/>
  <c r="X31" i="10"/>
  <c r="L31" i="10"/>
  <c r="M31" i="10"/>
  <c r="R31" i="10"/>
  <c r="G32" i="10"/>
  <c r="H32" i="10"/>
  <c r="F32" i="10" s="1"/>
  <c r="W32" i="10" s="1"/>
  <c r="K32" i="10"/>
  <c r="Y32" i="10"/>
  <c r="M32" i="10"/>
  <c r="O32" i="10"/>
  <c r="R32" i="10"/>
  <c r="X32" i="10"/>
  <c r="H33" i="10"/>
  <c r="F33" i="10" s="1"/>
  <c r="W33" i="10" s="1"/>
  <c r="K33" i="10"/>
  <c r="M33" i="10"/>
  <c r="R33" i="10"/>
  <c r="Y33" i="10"/>
  <c r="X33" i="10"/>
  <c r="E34" i="10"/>
  <c r="G34" i="10"/>
  <c r="H34" i="10"/>
  <c r="F34" i="10" s="1"/>
  <c r="K34" i="10"/>
  <c r="M34" i="10"/>
  <c r="O34" i="10"/>
  <c r="R34" i="10"/>
  <c r="X34" i="10"/>
  <c r="Y34" i="10"/>
  <c r="E35" i="10"/>
  <c r="H35" i="10"/>
  <c r="F35" i="10" s="1"/>
  <c r="K35" i="10"/>
  <c r="M35" i="10"/>
  <c r="R35" i="10"/>
  <c r="X35" i="10"/>
  <c r="Y35" i="10"/>
  <c r="B36" i="10"/>
  <c r="G36" i="10"/>
  <c r="J36" i="10"/>
  <c r="X36" i="10"/>
  <c r="M36" i="10"/>
  <c r="R36" i="10"/>
  <c r="S36" i="10"/>
  <c r="G37" i="10"/>
  <c r="H37" i="10"/>
  <c r="F37" i="10" s="1"/>
  <c r="K37" i="10"/>
  <c r="M37" i="10"/>
  <c r="R37" i="10"/>
  <c r="X37" i="10"/>
  <c r="G38" i="10"/>
  <c r="H38" i="10"/>
  <c r="F38" i="10" s="1"/>
  <c r="K38" i="10"/>
  <c r="M38" i="10"/>
  <c r="O38" i="10"/>
  <c r="R38" i="10"/>
  <c r="Y38" i="10" s="1"/>
  <c r="X38" i="10"/>
  <c r="F39" i="10"/>
  <c r="H39" i="10"/>
  <c r="K39" i="10"/>
  <c r="M39" i="10"/>
  <c r="O39" i="10"/>
  <c r="R39" i="10"/>
  <c r="X39" i="10"/>
  <c r="Y39" i="10"/>
  <c r="H40" i="10"/>
  <c r="F40" i="10" s="1"/>
  <c r="K40" i="10"/>
  <c r="Y40" i="10" s="1"/>
  <c r="M40" i="10"/>
  <c r="R40" i="10"/>
  <c r="X40" i="10"/>
  <c r="E41" i="10"/>
  <c r="L41" i="10"/>
  <c r="M41" i="10"/>
  <c r="O41" i="10"/>
  <c r="R41" i="10"/>
  <c r="X41" i="10"/>
  <c r="B42" i="10"/>
  <c r="E42" i="10"/>
  <c r="J42" i="10"/>
  <c r="X42" i="10" s="1"/>
  <c r="L42" i="10"/>
  <c r="M42" i="10"/>
  <c r="R42" i="10"/>
  <c r="F43" i="10"/>
  <c r="H43" i="10"/>
  <c r="K43" i="10"/>
  <c r="M43" i="10"/>
  <c r="O43" i="10"/>
  <c r="R43" i="10"/>
  <c r="X43" i="10"/>
  <c r="Y43" i="10"/>
  <c r="F44" i="10"/>
  <c r="W44" i="10" s="1"/>
  <c r="L44" i="10"/>
  <c r="H44" i="10" s="1"/>
  <c r="K44" i="10"/>
  <c r="Y44" i="10" s="1"/>
  <c r="M44" i="10"/>
  <c r="R44" i="10"/>
  <c r="X44" i="10"/>
  <c r="H45" i="10"/>
  <c r="F45" i="10"/>
  <c r="W45" i="10" s="1"/>
  <c r="K45" i="10"/>
  <c r="M45" i="10"/>
  <c r="R45" i="10"/>
  <c r="Y45" i="10" s="1"/>
  <c r="X45" i="10"/>
  <c r="B46" i="10"/>
  <c r="E46" i="10"/>
  <c r="G46" i="10"/>
  <c r="J46" i="10"/>
  <c r="L46" i="10"/>
  <c r="M46" i="10"/>
  <c r="O46" i="10"/>
  <c r="R46" i="10"/>
  <c r="X46" i="10"/>
  <c r="F47" i="10"/>
  <c r="W47" i="10" s="1"/>
  <c r="H47" i="10"/>
  <c r="K47" i="10"/>
  <c r="M47" i="10"/>
  <c r="O47" i="10"/>
  <c r="R47" i="10"/>
  <c r="X47" i="10"/>
  <c r="Y47" i="10"/>
  <c r="H48" i="10"/>
  <c r="F48" i="10" s="1"/>
  <c r="W48" i="10" s="1"/>
  <c r="K48" i="10"/>
  <c r="Y48" i="10" s="1"/>
  <c r="M48" i="10"/>
  <c r="R48" i="10"/>
  <c r="X48" i="10"/>
  <c r="B49" i="10"/>
  <c r="E49" i="10"/>
  <c r="G49" i="10"/>
  <c r="J49" i="10"/>
  <c r="L49" i="10"/>
  <c r="M49" i="10"/>
  <c r="S49" i="10"/>
  <c r="R49" i="10" s="1"/>
  <c r="U49" i="10"/>
  <c r="G50" i="10"/>
  <c r="H50" i="10"/>
  <c r="F50" i="10"/>
  <c r="K50" i="10"/>
  <c r="Y50" i="10" s="1"/>
  <c r="O50" i="10"/>
  <c r="R50" i="10"/>
  <c r="W50" i="10"/>
  <c r="X50" i="10"/>
  <c r="G51" i="10"/>
  <c r="H51" i="10"/>
  <c r="F51" i="10" s="1"/>
  <c r="W51" i="10" s="1"/>
  <c r="K51" i="10"/>
  <c r="M51" i="10"/>
  <c r="O51" i="10"/>
  <c r="R51" i="10"/>
  <c r="X51" i="10"/>
  <c r="Y51" i="10"/>
  <c r="C52" i="10"/>
  <c r="D52" i="10"/>
  <c r="H52" i="10"/>
  <c r="F52" i="10"/>
  <c r="K52" i="10"/>
  <c r="M52" i="10"/>
  <c r="R52" i="10"/>
  <c r="X52" i="10"/>
  <c r="Y52" i="10"/>
  <c r="B53" i="10"/>
  <c r="G53" i="10"/>
  <c r="J53" i="10"/>
  <c r="L53" i="10"/>
  <c r="K53" i="10" s="1"/>
  <c r="R53" i="10"/>
  <c r="S53" i="10"/>
  <c r="F54" i="10"/>
  <c r="H54" i="10"/>
  <c r="K54" i="10"/>
  <c r="M54" i="10"/>
  <c r="O54" i="10"/>
  <c r="R54" i="10"/>
  <c r="X54" i="10"/>
  <c r="Y54" i="10"/>
  <c r="H55" i="10"/>
  <c r="K55" i="10"/>
  <c r="M55" i="10"/>
  <c r="O55" i="10"/>
  <c r="R55" i="10"/>
  <c r="Y55" i="10"/>
  <c r="X55" i="10"/>
  <c r="F56" i="10"/>
  <c r="H56" i="10"/>
  <c r="K56" i="10"/>
  <c r="Y56" i="10"/>
  <c r="M56" i="10"/>
  <c r="O56" i="10"/>
  <c r="R56" i="10"/>
  <c r="W56" i="10"/>
  <c r="X56" i="10"/>
  <c r="H57" i="10"/>
  <c r="F57" i="10"/>
  <c r="K57" i="10"/>
  <c r="Y57" i="10" s="1"/>
  <c r="M57" i="10"/>
  <c r="R57" i="10"/>
  <c r="X57" i="10"/>
  <c r="C58" i="10"/>
  <c r="D58" i="10"/>
  <c r="H58" i="10"/>
  <c r="F58" i="10" s="1"/>
  <c r="K58" i="10"/>
  <c r="M58" i="10"/>
  <c r="O58" i="10"/>
  <c r="R58" i="10"/>
  <c r="Y58" i="10" s="1"/>
  <c r="V58" i="10"/>
  <c r="X58" i="10"/>
  <c r="C59" i="10"/>
  <c r="V59" i="10" s="1"/>
  <c r="D59" i="10"/>
  <c r="H59" i="10"/>
  <c r="F59" i="10" s="1"/>
  <c r="K59" i="10"/>
  <c r="Y59" i="10" s="1"/>
  <c r="M59" i="10"/>
  <c r="O59" i="10"/>
  <c r="R59" i="10"/>
  <c r="X59" i="10"/>
  <c r="D60" i="10"/>
  <c r="C60" i="10" s="1"/>
  <c r="V60" i="10" s="1"/>
  <c r="H60" i="10"/>
  <c r="F60" i="10" s="1"/>
  <c r="W60" i="10" s="1"/>
  <c r="K60" i="10"/>
  <c r="M60" i="10"/>
  <c r="O60" i="10"/>
  <c r="R60" i="10"/>
  <c r="X60" i="10"/>
  <c r="H61" i="10"/>
  <c r="F61" i="10" s="1"/>
  <c r="K61" i="10"/>
  <c r="Y61" i="10" s="1"/>
  <c r="M61" i="10"/>
  <c r="O61" i="10"/>
  <c r="R61" i="10"/>
  <c r="W61" i="10"/>
  <c r="X61" i="10"/>
  <c r="D62" i="10"/>
  <c r="C62" i="10"/>
  <c r="F62" i="10"/>
  <c r="H62" i="10"/>
  <c r="K62" i="10"/>
  <c r="M62" i="10"/>
  <c r="O62" i="10"/>
  <c r="R62" i="10"/>
  <c r="X62" i="10"/>
  <c r="Y62" i="10"/>
  <c r="F63" i="10"/>
  <c r="H63" i="10"/>
  <c r="K63" i="10"/>
  <c r="M63" i="10"/>
  <c r="O63" i="10"/>
  <c r="R63" i="10"/>
  <c r="Y63" i="10"/>
  <c r="W63" i="10"/>
  <c r="X63" i="10"/>
  <c r="D64" i="10"/>
  <c r="C64" i="10"/>
  <c r="V64" i="10"/>
  <c r="F64" i="10"/>
  <c r="H64" i="10"/>
  <c r="K64" i="10"/>
  <c r="Y64" i="10"/>
  <c r="M64" i="10"/>
  <c r="O64" i="10"/>
  <c r="R64" i="10"/>
  <c r="W64" i="10"/>
  <c r="X64" i="10"/>
  <c r="H65" i="10"/>
  <c r="F65" i="10" s="1"/>
  <c r="K65" i="10"/>
  <c r="Y65" i="10" s="1"/>
  <c r="M65" i="10"/>
  <c r="O65" i="10"/>
  <c r="R65" i="10"/>
  <c r="W65" i="10"/>
  <c r="X65" i="10"/>
  <c r="E66" i="10"/>
  <c r="E53" i="10" s="1"/>
  <c r="F66" i="10"/>
  <c r="W66" i="10" s="1"/>
  <c r="H66" i="10"/>
  <c r="K66" i="10"/>
  <c r="Y66" i="10"/>
  <c r="M66" i="10"/>
  <c r="O66" i="10"/>
  <c r="R66" i="10"/>
  <c r="X66" i="10"/>
  <c r="B67" i="10"/>
  <c r="G67" i="10"/>
  <c r="J67" i="10"/>
  <c r="X67" i="10"/>
  <c r="M67" i="10"/>
  <c r="O67" i="10"/>
  <c r="R67" i="10"/>
  <c r="H68" i="10"/>
  <c r="F68" i="10" s="1"/>
  <c r="W68" i="10" s="1"/>
  <c r="K68" i="10"/>
  <c r="M68" i="10"/>
  <c r="O68" i="10"/>
  <c r="R68" i="10"/>
  <c r="X68" i="10"/>
  <c r="Y68" i="10"/>
  <c r="E69" i="10"/>
  <c r="D69" i="10"/>
  <c r="C69" i="10" s="1"/>
  <c r="F69" i="10"/>
  <c r="H69" i="10"/>
  <c r="K69" i="10"/>
  <c r="M69" i="10"/>
  <c r="O69" i="10"/>
  <c r="R69" i="10"/>
  <c r="X69" i="10"/>
  <c r="Y69" i="10"/>
  <c r="L70" i="10"/>
  <c r="M70" i="10"/>
  <c r="O70" i="10"/>
  <c r="R70" i="10"/>
  <c r="X70" i="10"/>
  <c r="N73" i="10"/>
  <c r="R72" i="10"/>
  <c r="S72" i="10"/>
  <c r="T72" i="10"/>
  <c r="B73" i="10"/>
  <c r="B72" i="10"/>
  <c r="G73" i="10"/>
  <c r="J73" i="10"/>
  <c r="L73" i="10"/>
  <c r="K73" i="10" s="1"/>
  <c r="L72" i="10"/>
  <c r="K72" i="10" s="1"/>
  <c r="Y72" i="10" s="1"/>
  <c r="O73" i="10"/>
  <c r="R73" i="10"/>
  <c r="G74" i="10"/>
  <c r="H74" i="10"/>
  <c r="F74" i="10" s="1"/>
  <c r="K74" i="10"/>
  <c r="Y74" i="10" s="1"/>
  <c r="M74" i="10"/>
  <c r="O74" i="10"/>
  <c r="R74" i="10"/>
  <c r="X74" i="10"/>
  <c r="C75" i="10"/>
  <c r="V75" i="10"/>
  <c r="H75" i="10"/>
  <c r="M75" i="10"/>
  <c r="O75" i="10"/>
  <c r="W75" i="10"/>
  <c r="R75" i="10"/>
  <c r="X75" i="10"/>
  <c r="Y75" i="10"/>
  <c r="F76" i="10"/>
  <c r="W76" i="10" s="1"/>
  <c r="G76" i="10"/>
  <c r="H76" i="10"/>
  <c r="K76" i="10"/>
  <c r="M76" i="10"/>
  <c r="O76" i="10"/>
  <c r="R76" i="10"/>
  <c r="Y76" i="10"/>
  <c r="X76" i="10"/>
  <c r="G77" i="10"/>
  <c r="H77" i="10"/>
  <c r="F77" i="10"/>
  <c r="W77" i="10" s="1"/>
  <c r="K77" i="10"/>
  <c r="M77" i="10"/>
  <c r="O77" i="10"/>
  <c r="R77" i="10"/>
  <c r="Y77" i="10" s="1"/>
  <c r="X77" i="10"/>
  <c r="E78" i="10"/>
  <c r="G78" i="10"/>
  <c r="H78" i="10"/>
  <c r="F78" i="10" s="1"/>
  <c r="W78" i="10" s="1"/>
  <c r="K78" i="10"/>
  <c r="M78" i="10"/>
  <c r="O78" i="10"/>
  <c r="R78" i="10"/>
  <c r="Y78" i="10" s="1"/>
  <c r="X78" i="10"/>
  <c r="H79" i="10"/>
  <c r="F79" i="10" s="1"/>
  <c r="W79" i="10" s="1"/>
  <c r="K79" i="10"/>
  <c r="M79" i="10"/>
  <c r="O79" i="10"/>
  <c r="R79" i="10"/>
  <c r="Y79" i="10"/>
  <c r="X79" i="10"/>
  <c r="G80" i="10"/>
  <c r="H80" i="10"/>
  <c r="F80" i="10" s="1"/>
  <c r="W80" i="10" s="1"/>
  <c r="K80" i="10"/>
  <c r="M80" i="10"/>
  <c r="O80" i="10"/>
  <c r="R80" i="10"/>
  <c r="Y80" i="10" s="1"/>
  <c r="X80" i="10"/>
  <c r="G81" i="10"/>
  <c r="H81" i="10"/>
  <c r="F81" i="10" s="1"/>
  <c r="W81" i="10" s="1"/>
  <c r="K81" i="10"/>
  <c r="M81" i="10"/>
  <c r="O81" i="10"/>
  <c r="R81" i="10"/>
  <c r="Y81" i="10"/>
  <c r="X81" i="10"/>
  <c r="C82" i="10"/>
  <c r="D82" i="10"/>
  <c r="H82" i="10"/>
  <c r="F82" i="10" s="1"/>
  <c r="W82" i="10" s="1"/>
  <c r="K82" i="10"/>
  <c r="M82" i="10"/>
  <c r="O82" i="10"/>
  <c r="R82" i="10"/>
  <c r="Y82" i="10" s="1"/>
  <c r="V82" i="10"/>
  <c r="X82" i="10"/>
  <c r="F83" i="10"/>
  <c r="W83" i="10" s="1"/>
  <c r="H83" i="10"/>
  <c r="K83" i="10"/>
  <c r="M83" i="10"/>
  <c r="O83" i="10"/>
  <c r="R83" i="10"/>
  <c r="Y83" i="10"/>
  <c r="X83" i="10"/>
  <c r="B84" i="10"/>
  <c r="E84" i="10"/>
  <c r="I84" i="10"/>
  <c r="I72" i="10" s="1"/>
  <c r="J84" i="10"/>
  <c r="X84" i="10" s="1"/>
  <c r="K84" i="10"/>
  <c r="L84" i="10"/>
  <c r="H84" i="10"/>
  <c r="F84" i="10"/>
  <c r="M84" i="10"/>
  <c r="R84" i="10"/>
  <c r="C85" i="10"/>
  <c r="D85" i="10"/>
  <c r="G85" i="10"/>
  <c r="H85" i="10"/>
  <c r="F85" i="10" s="1"/>
  <c r="W85" i="10" s="1"/>
  <c r="K85" i="10"/>
  <c r="M85" i="10"/>
  <c r="O85" i="10"/>
  <c r="R85" i="10"/>
  <c r="Y85" i="10" s="1"/>
  <c r="X85" i="10"/>
  <c r="F86" i="10"/>
  <c r="W86" i="10" s="1"/>
  <c r="G86" i="10"/>
  <c r="H86" i="10"/>
  <c r="K86" i="10"/>
  <c r="Y86" i="10" s="1"/>
  <c r="M86" i="10"/>
  <c r="O86" i="10"/>
  <c r="R86" i="10"/>
  <c r="X86" i="10"/>
  <c r="G87" i="10"/>
  <c r="H87" i="10"/>
  <c r="F87" i="10" s="1"/>
  <c r="W87" i="10" s="1"/>
  <c r="K87" i="10"/>
  <c r="M87" i="10"/>
  <c r="O87" i="10"/>
  <c r="R87" i="10"/>
  <c r="Y87" i="10" s="1"/>
  <c r="X87" i="10"/>
  <c r="G88" i="10"/>
  <c r="G84" i="10" s="1"/>
  <c r="H88" i="10"/>
  <c r="F88" i="10" s="1"/>
  <c r="W88" i="10" s="1"/>
  <c r="K88" i="10"/>
  <c r="Y88" i="10" s="1"/>
  <c r="M88" i="10"/>
  <c r="O88" i="10"/>
  <c r="R88" i="10"/>
  <c r="X88" i="10"/>
  <c r="G89" i="10"/>
  <c r="H89" i="10"/>
  <c r="F89" i="10" s="1"/>
  <c r="W89" i="10" s="1"/>
  <c r="K89" i="10"/>
  <c r="M89" i="10"/>
  <c r="O89" i="10"/>
  <c r="R89" i="10"/>
  <c r="Y89" i="10"/>
  <c r="X89" i="10"/>
  <c r="G90" i="10"/>
  <c r="H90" i="10"/>
  <c r="F90" i="10" s="1"/>
  <c r="K90" i="10"/>
  <c r="Y90" i="10" s="1"/>
  <c r="M90" i="10"/>
  <c r="O90" i="10"/>
  <c r="R90" i="10"/>
  <c r="X90" i="10"/>
  <c r="G91" i="10"/>
  <c r="H91" i="10"/>
  <c r="F91" i="10" s="1"/>
  <c r="W91" i="10" s="1"/>
  <c r="K91" i="10"/>
  <c r="M91" i="10"/>
  <c r="O91" i="10"/>
  <c r="R91" i="10"/>
  <c r="Y91" i="10"/>
  <c r="X91" i="10"/>
  <c r="G92" i="10"/>
  <c r="H92" i="10"/>
  <c r="F92" i="10" s="1"/>
  <c r="K92" i="10"/>
  <c r="Y92" i="10" s="1"/>
  <c r="M92" i="10"/>
  <c r="O92" i="10"/>
  <c r="R92" i="10"/>
  <c r="X92" i="10"/>
  <c r="G93" i="10"/>
  <c r="H93" i="10"/>
  <c r="F93" i="10" s="1"/>
  <c r="K93" i="10"/>
  <c r="M93" i="10"/>
  <c r="P93" i="10"/>
  <c r="O93" i="10" s="1"/>
  <c r="R93" i="10"/>
  <c r="Y93" i="10" s="1"/>
  <c r="X93" i="10"/>
  <c r="B95" i="10"/>
  <c r="E95" i="10"/>
  <c r="I95" i="10"/>
  <c r="J95" i="10"/>
  <c r="L95" i="10"/>
  <c r="K95" i="10" s="1"/>
  <c r="N95" i="10"/>
  <c r="M95" i="10" s="1"/>
  <c r="P95" i="10"/>
  <c r="O95" i="10"/>
  <c r="Q95" i="10"/>
  <c r="R95" i="10"/>
  <c r="S95" i="10"/>
  <c r="T95" i="10"/>
  <c r="Y95" i="10"/>
  <c r="E96" i="10"/>
  <c r="G96" i="10"/>
  <c r="G95" i="10" s="1"/>
  <c r="G121" i="10" s="1"/>
  <c r="H96" i="10"/>
  <c r="F96" i="10" s="1"/>
  <c r="K96" i="10"/>
  <c r="M96" i="10"/>
  <c r="O96" i="10"/>
  <c r="R96" i="10"/>
  <c r="Y96" i="10" s="1"/>
  <c r="X96" i="10"/>
  <c r="G97" i="10"/>
  <c r="H97" i="10"/>
  <c r="F97" i="10" s="1"/>
  <c r="W97" i="10" s="1"/>
  <c r="K97" i="10"/>
  <c r="M97" i="10"/>
  <c r="O97" i="10"/>
  <c r="R97" i="10"/>
  <c r="Y97" i="10"/>
  <c r="X97" i="10"/>
  <c r="G98" i="10"/>
  <c r="H98" i="10"/>
  <c r="F98" i="10" s="1"/>
  <c r="K98" i="10"/>
  <c r="M98" i="10"/>
  <c r="O98" i="10"/>
  <c r="R98" i="10"/>
  <c r="Y98" i="10" s="1"/>
  <c r="X98" i="10"/>
  <c r="G99" i="10"/>
  <c r="H99" i="10"/>
  <c r="F99" i="10" s="1"/>
  <c r="W99" i="10" s="1"/>
  <c r="K99" i="10"/>
  <c r="M99" i="10"/>
  <c r="O99" i="10"/>
  <c r="R99" i="10"/>
  <c r="Y99" i="10"/>
  <c r="X99" i="10"/>
  <c r="G100" i="10"/>
  <c r="H100" i="10"/>
  <c r="H95" i="10" s="1"/>
  <c r="F95" i="10" s="1"/>
  <c r="W95" i="10" s="1"/>
  <c r="F100" i="10"/>
  <c r="K100" i="10"/>
  <c r="M100" i="10"/>
  <c r="O100" i="10"/>
  <c r="R100" i="10"/>
  <c r="Y100" i="10" s="1"/>
  <c r="X100" i="10"/>
  <c r="B102" i="10"/>
  <c r="I102" i="10"/>
  <c r="J102" i="10"/>
  <c r="L102" i="10"/>
  <c r="K102" i="10" s="1"/>
  <c r="P102" i="10"/>
  <c r="O102" i="10"/>
  <c r="Q102" i="10"/>
  <c r="S102" i="10"/>
  <c r="R102" i="10" s="1"/>
  <c r="T102" i="10"/>
  <c r="X102" i="10"/>
  <c r="G103" i="10"/>
  <c r="H103" i="10"/>
  <c r="F103" i="10" s="1"/>
  <c r="W103" i="10" s="1"/>
  <c r="K103" i="10"/>
  <c r="M103" i="10"/>
  <c r="O103" i="10"/>
  <c r="R103" i="10"/>
  <c r="X103" i="10"/>
  <c r="G104" i="10"/>
  <c r="H104" i="10"/>
  <c r="K104" i="10"/>
  <c r="M104" i="10"/>
  <c r="O104" i="10"/>
  <c r="R104" i="10"/>
  <c r="Y104" i="10" s="1"/>
  <c r="X104" i="10"/>
  <c r="F105" i="10"/>
  <c r="W105" i="10"/>
  <c r="G105" i="10"/>
  <c r="H105" i="10"/>
  <c r="K105" i="10"/>
  <c r="M105" i="10"/>
  <c r="O105" i="10"/>
  <c r="R105" i="10"/>
  <c r="X105" i="10"/>
  <c r="Y105" i="10"/>
  <c r="E106" i="10"/>
  <c r="E102" i="10" s="1"/>
  <c r="G106" i="10"/>
  <c r="G102" i="10"/>
  <c r="H106" i="10"/>
  <c r="F106" i="10" s="1"/>
  <c r="W106" i="10" s="1"/>
  <c r="K106" i="10"/>
  <c r="M106" i="10"/>
  <c r="O106" i="10"/>
  <c r="R106" i="10"/>
  <c r="Y106" i="10"/>
  <c r="X106" i="10"/>
  <c r="B108" i="10"/>
  <c r="E108" i="10"/>
  <c r="I108" i="10"/>
  <c r="J108" i="10"/>
  <c r="L108" i="10"/>
  <c r="K108" i="10"/>
  <c r="Y108" i="10" s="1"/>
  <c r="N108" i="10"/>
  <c r="M108" i="10" s="1"/>
  <c r="P108" i="10"/>
  <c r="O108" i="10"/>
  <c r="R108" i="10"/>
  <c r="S108" i="10"/>
  <c r="T108" i="10"/>
  <c r="X108" i="10"/>
  <c r="G109" i="10"/>
  <c r="G108" i="10"/>
  <c r="H109" i="10"/>
  <c r="F109" i="10" s="1"/>
  <c r="K109" i="10"/>
  <c r="M109" i="10"/>
  <c r="O109" i="10"/>
  <c r="R109" i="10"/>
  <c r="X109" i="10"/>
  <c r="Y109" i="10"/>
  <c r="G110" i="10"/>
  <c r="H110" i="10"/>
  <c r="F110" i="10"/>
  <c r="W110" i="10" s="1"/>
  <c r="K110" i="10"/>
  <c r="M110" i="10"/>
  <c r="O110" i="10"/>
  <c r="R110" i="10"/>
  <c r="Y110" i="10" s="1"/>
  <c r="X110" i="10"/>
  <c r="F111" i="10"/>
  <c r="H111" i="10"/>
  <c r="K111" i="10"/>
  <c r="M111" i="10"/>
  <c r="O111" i="10"/>
  <c r="R111" i="10"/>
  <c r="X111" i="10"/>
  <c r="Y111" i="10"/>
  <c r="G112" i="10"/>
  <c r="H112" i="10"/>
  <c r="F112" i="10" s="1"/>
  <c r="K112" i="10"/>
  <c r="Y112" i="10" s="1"/>
  <c r="M112" i="10"/>
  <c r="O112" i="10"/>
  <c r="R112" i="10"/>
  <c r="X112" i="10"/>
  <c r="G113" i="10"/>
  <c r="H113" i="10"/>
  <c r="F113" i="10" s="1"/>
  <c r="W113" i="10" s="1"/>
  <c r="K113" i="10"/>
  <c r="M113" i="10"/>
  <c r="O113" i="10"/>
  <c r="R113" i="10"/>
  <c r="Y113" i="10"/>
  <c r="X113" i="10"/>
  <c r="G114" i="10"/>
  <c r="H114" i="10"/>
  <c r="F114" i="10" s="1"/>
  <c r="W114" i="10" s="1"/>
  <c r="K114" i="10"/>
  <c r="M114" i="10"/>
  <c r="O114" i="10"/>
  <c r="R114" i="10"/>
  <c r="X114" i="10"/>
  <c r="F115" i="10"/>
  <c r="C116" i="10"/>
  <c r="V116" i="10" s="1"/>
  <c r="D116" i="10"/>
  <c r="G116" i="10"/>
  <c r="I116" i="10"/>
  <c r="L116" i="10"/>
  <c r="K116" i="10" s="1"/>
  <c r="Y116" i="10" s="1"/>
  <c r="N116" i="10"/>
  <c r="M116" i="10" s="1"/>
  <c r="P116" i="10"/>
  <c r="O116" i="10"/>
  <c r="Q116" i="10"/>
  <c r="S116" i="10"/>
  <c r="R116" i="10" s="1"/>
  <c r="T116" i="10"/>
  <c r="U116" i="10"/>
  <c r="C117" i="10"/>
  <c r="V117" i="10" s="1"/>
  <c r="H117" i="10"/>
  <c r="K117" i="10"/>
  <c r="M117" i="10"/>
  <c r="O117" i="10"/>
  <c r="R117" i="10"/>
  <c r="Y117" i="10" s="1"/>
  <c r="X117" i="10"/>
  <c r="F118" i="10"/>
  <c r="H119" i="10"/>
  <c r="F119" i="10" s="1"/>
  <c r="X119" i="10"/>
  <c r="Y119" i="10"/>
  <c r="D120" i="10"/>
  <c r="C120" i="10" s="1"/>
  <c r="V120" i="10" s="1"/>
  <c r="F120" i="10"/>
  <c r="H120" i="10"/>
  <c r="K120" i="10"/>
  <c r="M120" i="10"/>
  <c r="O120" i="10"/>
  <c r="P120" i="10"/>
  <c r="R120" i="10"/>
  <c r="X120" i="10"/>
  <c r="M53" i="10"/>
  <c r="N72" i="10"/>
  <c r="M73" i="10"/>
  <c r="K28" i="10"/>
  <c r="Y28" i="10" s="1"/>
  <c r="H28" i="10"/>
  <c r="P84" i="11"/>
  <c r="O84" i="11" s="1"/>
  <c r="O86" i="11"/>
  <c r="X73" i="10"/>
  <c r="U37" i="10"/>
  <c r="D37" i="10" s="1"/>
  <c r="C37" i="10" s="1"/>
  <c r="V37" i="10" s="1"/>
  <c r="U51" i="10"/>
  <c r="D51" i="10" s="1"/>
  <c r="C51" i="10" s="1"/>
  <c r="V51" i="10" s="1"/>
  <c r="U93" i="10"/>
  <c r="D93" i="10" s="1"/>
  <c r="C93" i="10" s="1"/>
  <c r="V93" i="10" s="1"/>
  <c r="U17" i="10"/>
  <c r="D17" i="10" s="1"/>
  <c r="C17" i="10" s="1"/>
  <c r="V17" i="10" s="1"/>
  <c r="U54" i="10"/>
  <c r="D54" i="10" s="1"/>
  <c r="C54" i="10" s="1"/>
  <c r="V54" i="10" s="1"/>
  <c r="U91" i="10"/>
  <c r="D91" i="10" s="1"/>
  <c r="C91" i="10" s="1"/>
  <c r="V91" i="10" s="1"/>
  <c r="F97" i="11"/>
  <c r="O28" i="11"/>
  <c r="K21" i="12"/>
  <c r="Y21" i="12" s="1"/>
  <c r="H21" i="12"/>
  <c r="E31" i="10"/>
  <c r="E20" i="10"/>
  <c r="H108" i="10"/>
  <c r="F108" i="10" s="1"/>
  <c r="W108" i="10"/>
  <c r="Y102" i="10"/>
  <c r="Y84" i="10"/>
  <c r="Y15" i="10"/>
  <c r="W14" i="10"/>
  <c r="W13" i="10"/>
  <c r="Y85" i="11"/>
  <c r="H116" i="10"/>
  <c r="F117" i="10"/>
  <c r="W117" i="10"/>
  <c r="P49" i="10"/>
  <c r="O49" i="10" s="1"/>
  <c r="O52" i="10"/>
  <c r="M116" i="11"/>
  <c r="H102" i="10"/>
  <c r="F102" i="10" s="1"/>
  <c r="W102" i="10" s="1"/>
  <c r="F104" i="10"/>
  <c r="W104" i="10"/>
  <c r="K70" i="10"/>
  <c r="Y70" i="10" s="1"/>
  <c r="L67" i="10"/>
  <c r="K67" i="10"/>
  <c r="Y67" i="10" s="1"/>
  <c r="H70" i="10"/>
  <c r="F70" i="10" s="1"/>
  <c r="W70" i="10" s="1"/>
  <c r="P31" i="10"/>
  <c r="O35" i="10"/>
  <c r="W35" i="10" s="1"/>
  <c r="K102" i="11"/>
  <c r="Y102" i="11" s="1"/>
  <c r="F84" i="11"/>
  <c r="W84" i="11" s="1"/>
  <c r="H72" i="11"/>
  <c r="F72" i="11" s="1"/>
  <c r="O60" i="11"/>
  <c r="P53" i="11"/>
  <c r="O53" i="11"/>
  <c r="O35" i="11"/>
  <c r="P31" i="11"/>
  <c r="O31" i="11"/>
  <c r="W62" i="10"/>
  <c r="Y79" i="11"/>
  <c r="Y15" i="11"/>
  <c r="G72" i="10"/>
  <c r="V52" i="10"/>
  <c r="W47" i="11"/>
  <c r="X95" i="10"/>
  <c r="V85" i="10"/>
  <c r="W69" i="10"/>
  <c r="Y60" i="10"/>
  <c r="W59" i="10"/>
  <c r="W54" i="10"/>
  <c r="W52" i="10"/>
  <c r="O40" i="10"/>
  <c r="P36" i="10"/>
  <c r="O36" i="10" s="1"/>
  <c r="K36" i="11"/>
  <c r="Y36" i="11" s="1"/>
  <c r="H36" i="11"/>
  <c r="E36" i="12"/>
  <c r="E36" i="10"/>
  <c r="G20" i="10"/>
  <c r="P9" i="10"/>
  <c r="O9" i="10" s="1"/>
  <c r="P84" i="10"/>
  <c r="P116" i="11"/>
  <c r="V116" i="11"/>
  <c r="Y111" i="11"/>
  <c r="G108" i="11"/>
  <c r="Y108" i="11"/>
  <c r="Y106" i="11"/>
  <c r="Y100" i="11"/>
  <c r="W98" i="11"/>
  <c r="W81" i="11"/>
  <c r="H53" i="11"/>
  <c r="F53" i="11"/>
  <c r="B20" i="11"/>
  <c r="W40" i="12"/>
  <c r="N102" i="11"/>
  <c r="M102" i="11" s="1"/>
  <c r="M103" i="11"/>
  <c r="P95" i="11"/>
  <c r="O95" i="11"/>
  <c r="O97" i="11"/>
  <c r="F21" i="11"/>
  <c r="W21" i="11" s="1"/>
  <c r="H73" i="10"/>
  <c r="E67" i="10"/>
  <c r="V62" i="10"/>
  <c r="L36" i="10"/>
  <c r="Y10" i="10"/>
  <c r="W112" i="11"/>
  <c r="W109" i="11"/>
  <c r="Y99" i="11"/>
  <c r="Y98" i="11"/>
  <c r="W96" i="11"/>
  <c r="Y95" i="11"/>
  <c r="W92" i="11"/>
  <c r="J20" i="11"/>
  <c r="J9" i="10"/>
  <c r="X9" i="10"/>
  <c r="X12" i="10"/>
  <c r="X95" i="11"/>
  <c r="X102" i="12"/>
  <c r="H67" i="10"/>
  <c r="F67" i="10" s="1"/>
  <c r="W67" i="10" s="1"/>
  <c r="W58" i="10"/>
  <c r="X49" i="10"/>
  <c r="W40" i="10"/>
  <c r="W37" i="10"/>
  <c r="G9" i="10"/>
  <c r="W120" i="11"/>
  <c r="W111" i="11"/>
  <c r="W90" i="11"/>
  <c r="W86" i="11"/>
  <c r="W66" i="11"/>
  <c r="Y45" i="11"/>
  <c r="E73" i="11"/>
  <c r="P36" i="11"/>
  <c r="O36" i="11" s="1"/>
  <c r="O37" i="11"/>
  <c r="W37" i="11" s="1"/>
  <c r="F117" i="12"/>
  <c r="W117" i="12" s="1"/>
  <c r="H116" i="12"/>
  <c r="E72" i="12"/>
  <c r="Q20" i="12"/>
  <c r="Q121" i="12" s="1"/>
  <c r="X21" i="12"/>
  <c r="P108" i="11"/>
  <c r="O108" i="11"/>
  <c r="H108" i="11"/>
  <c r="F108" i="11"/>
  <c r="W108" i="11" s="1"/>
  <c r="W88" i="11"/>
  <c r="Y81" i="11"/>
  <c r="Y78" i="11"/>
  <c r="W54" i="11"/>
  <c r="Y49" i="11"/>
  <c r="W41" i="11"/>
  <c r="Y38" i="11"/>
  <c r="W34" i="11"/>
  <c r="W33" i="11"/>
  <c r="G20" i="11"/>
  <c r="Y112" i="12"/>
  <c r="Y100" i="12"/>
  <c r="W57" i="12"/>
  <c r="Y15" i="12"/>
  <c r="K28" i="11"/>
  <c r="Y28" i="11"/>
  <c r="H28" i="11"/>
  <c r="F28" i="11"/>
  <c r="W28" i="11" s="1"/>
  <c r="E95" i="12"/>
  <c r="O50" i="12"/>
  <c r="P49" i="12"/>
  <c r="O49" i="12" s="1"/>
  <c r="O57" i="10"/>
  <c r="W57" i="10" s="1"/>
  <c r="O29" i="10"/>
  <c r="W29" i="10" s="1"/>
  <c r="M117" i="11"/>
  <c r="V117" i="11" s="1"/>
  <c r="H116" i="11"/>
  <c r="N108" i="11"/>
  <c r="M108" i="11"/>
  <c r="E102" i="11"/>
  <c r="Y90" i="11"/>
  <c r="Y86" i="11"/>
  <c r="L72" i="11"/>
  <c r="K72" i="11" s="1"/>
  <c r="Y72" i="11" s="1"/>
  <c r="Y63" i="11"/>
  <c r="W60" i="11"/>
  <c r="Y53" i="11"/>
  <c r="E53" i="11"/>
  <c r="P49" i="11"/>
  <c r="O49" i="11" s="1"/>
  <c r="W49" i="11" s="1"/>
  <c r="W39" i="11"/>
  <c r="Y32" i="11"/>
  <c r="Y24" i="11"/>
  <c r="W18" i="11"/>
  <c r="G108" i="12"/>
  <c r="W99" i="12"/>
  <c r="H70" i="11"/>
  <c r="F70" i="11" s="1"/>
  <c r="W70" i="11" s="1"/>
  <c r="L67" i="11"/>
  <c r="K67" i="11"/>
  <c r="Y67" i="11" s="1"/>
  <c r="Q20" i="11"/>
  <c r="Q121" i="11" s="1"/>
  <c r="X36" i="11"/>
  <c r="K31" i="11"/>
  <c r="Y31" i="11"/>
  <c r="H31" i="11"/>
  <c r="F31" i="11"/>
  <c r="W31" i="11" s="1"/>
  <c r="H12" i="11"/>
  <c r="F13" i="11"/>
  <c r="W13" i="11"/>
  <c r="L9" i="11"/>
  <c r="K9" i="11"/>
  <c r="Y9" i="11" s="1"/>
  <c r="K12" i="11"/>
  <c r="Y12" i="11" s="1"/>
  <c r="F10" i="11"/>
  <c r="W10" i="11" s="1"/>
  <c r="N73" i="12"/>
  <c r="M78" i="12"/>
  <c r="X73" i="12"/>
  <c r="J72" i="12"/>
  <c r="X72" i="12" s="1"/>
  <c r="F54" i="12"/>
  <c r="W54" i="12" s="1"/>
  <c r="H53" i="12"/>
  <c r="F53" i="12" s="1"/>
  <c r="K28" i="12"/>
  <c r="Y28" i="12" s="1"/>
  <c r="H28" i="12"/>
  <c r="F28" i="12" s="1"/>
  <c r="W79" i="11"/>
  <c r="W77" i="11"/>
  <c r="P73" i="11"/>
  <c r="H67" i="11"/>
  <c r="F67" i="11" s="1"/>
  <c r="W67" i="11" s="1"/>
  <c r="T20" i="11"/>
  <c r="T121" i="11" s="1"/>
  <c r="S20" i="11"/>
  <c r="R20" i="11" s="1"/>
  <c r="G9" i="11"/>
  <c r="W50" i="12"/>
  <c r="M12" i="11"/>
  <c r="N9" i="11"/>
  <c r="M9" i="11" s="1"/>
  <c r="K116" i="12"/>
  <c r="Y116" i="12" s="1"/>
  <c r="O85" i="12"/>
  <c r="P84" i="12"/>
  <c r="O84" i="12"/>
  <c r="W84" i="12" s="1"/>
  <c r="H72" i="12"/>
  <c r="F72" i="12" s="1"/>
  <c r="F84" i="12"/>
  <c r="K41" i="12"/>
  <c r="Y41" i="12" s="1"/>
  <c r="L36" i="12"/>
  <c r="H41" i="12"/>
  <c r="F41" i="12" s="1"/>
  <c r="W41" i="12" s="1"/>
  <c r="R36" i="12"/>
  <c r="S20" i="12"/>
  <c r="K12" i="12"/>
  <c r="Y12" i="12" s="1"/>
  <c r="L9" i="12"/>
  <c r="K9" i="12"/>
  <c r="Y9" i="12" s="1"/>
  <c r="Y11" i="11"/>
  <c r="Y104" i="12"/>
  <c r="Y102" i="12"/>
  <c r="G95" i="12"/>
  <c r="Y93" i="12"/>
  <c r="W79" i="12"/>
  <c r="W56" i="12"/>
  <c r="N20" i="12"/>
  <c r="M20" i="12" s="1"/>
  <c r="B121" i="12"/>
  <c r="B8" i="12" s="1"/>
  <c r="U38" i="12" s="1"/>
  <c r="D38" i="12" s="1"/>
  <c r="C38" i="12" s="1"/>
  <c r="V38" i="12" s="1"/>
  <c r="J20" i="12"/>
  <c r="X20" i="12" s="1"/>
  <c r="H9" i="12"/>
  <c r="F9" i="12" s="1"/>
  <c r="M116" i="12"/>
  <c r="C116" i="12"/>
  <c r="V116" i="12" s="1"/>
  <c r="F68" i="12"/>
  <c r="W68" i="12" s="1"/>
  <c r="H67" i="12"/>
  <c r="F67" i="12" s="1"/>
  <c r="W67" i="12" s="1"/>
  <c r="H12" i="12"/>
  <c r="F12" i="12"/>
  <c r="W12" i="12" s="1"/>
  <c r="F13" i="12"/>
  <c r="W13" i="12" s="1"/>
  <c r="K21" i="11"/>
  <c r="Y21" i="11" s="1"/>
  <c r="E9" i="11"/>
  <c r="Y114" i="12"/>
  <c r="P108" i="12"/>
  <c r="O108" i="12" s="1"/>
  <c r="H108" i="12"/>
  <c r="F108" i="12" s="1"/>
  <c r="W104" i="12"/>
  <c r="H102" i="12"/>
  <c r="F102" i="12" s="1"/>
  <c r="Y98" i="12"/>
  <c r="Y95" i="12"/>
  <c r="W91" i="12"/>
  <c r="Y89" i="12"/>
  <c r="W85" i="12"/>
  <c r="W83" i="12"/>
  <c r="W70" i="12"/>
  <c r="W65" i="12"/>
  <c r="W63" i="12"/>
  <c r="W52" i="12"/>
  <c r="Y48" i="12"/>
  <c r="W47" i="12"/>
  <c r="Y46" i="12"/>
  <c r="P42" i="12"/>
  <c r="O42" i="12" s="1"/>
  <c r="Y39" i="12"/>
  <c r="Y35" i="12"/>
  <c r="P31" i="12"/>
  <c r="O31" i="12" s="1"/>
  <c r="P28" i="12"/>
  <c r="O28" i="12" s="1"/>
  <c r="W27" i="12"/>
  <c r="Y25" i="12"/>
  <c r="W22" i="12"/>
  <c r="B20" i="12"/>
  <c r="Y10" i="12"/>
  <c r="X12" i="11"/>
  <c r="J9" i="11"/>
  <c r="J121" i="11" s="1"/>
  <c r="P9" i="11"/>
  <c r="O9" i="11"/>
  <c r="O10" i="11"/>
  <c r="O116" i="12"/>
  <c r="N49" i="11"/>
  <c r="M49" i="11"/>
  <c r="W120" i="12"/>
  <c r="W114" i="12"/>
  <c r="Y109" i="12"/>
  <c r="W98" i="12"/>
  <c r="F97" i="12"/>
  <c r="W97" i="12" s="1"/>
  <c r="Y96" i="12"/>
  <c r="W87" i="12"/>
  <c r="Y81" i="12"/>
  <c r="P73" i="12"/>
  <c r="Y61" i="12"/>
  <c r="P53" i="12"/>
  <c r="O53" i="12" s="1"/>
  <c r="Y43" i="12"/>
  <c r="W29" i="12"/>
  <c r="G20" i="12"/>
  <c r="K84" i="12"/>
  <c r="Y84" i="12"/>
  <c r="K70" i="12"/>
  <c r="Y70" i="12" s="1"/>
  <c r="H44" i="12"/>
  <c r="F44" i="12"/>
  <c r="W44" i="12" s="1"/>
  <c r="O37" i="12"/>
  <c r="W37" i="12" s="1"/>
  <c r="O32" i="12"/>
  <c r="W32" i="12"/>
  <c r="M28" i="12"/>
  <c r="O11" i="12"/>
  <c r="W11" i="12" s="1"/>
  <c r="F10" i="12"/>
  <c r="P72" i="12"/>
  <c r="O72" i="12" s="1"/>
  <c r="O73" i="12"/>
  <c r="W73" i="12"/>
  <c r="K36" i="12"/>
  <c r="Y36" i="12" s="1"/>
  <c r="H36" i="12"/>
  <c r="F36" i="12"/>
  <c r="F116" i="11"/>
  <c r="P72" i="10"/>
  <c r="O84" i="10"/>
  <c r="W84" i="10" s="1"/>
  <c r="O31" i="10"/>
  <c r="J121" i="12"/>
  <c r="X121" i="12"/>
  <c r="X121" i="11"/>
  <c r="X20" i="11"/>
  <c r="O116" i="11"/>
  <c r="F116" i="10"/>
  <c r="W116" i="10"/>
  <c r="F21" i="12"/>
  <c r="W21" i="12"/>
  <c r="W28" i="12"/>
  <c r="O73" i="11"/>
  <c r="W73" i="11"/>
  <c r="P72" i="11"/>
  <c r="O72" i="11"/>
  <c r="N72" i="12"/>
  <c r="M73" i="12"/>
  <c r="E72" i="11"/>
  <c r="H36" i="10"/>
  <c r="F36" i="10" s="1"/>
  <c r="W36" i="10" s="1"/>
  <c r="K36" i="10"/>
  <c r="Y36" i="10"/>
  <c r="F73" i="10"/>
  <c r="W73" i="10" s="1"/>
  <c r="H72" i="10"/>
  <c r="F72" i="10" s="1"/>
  <c r="M72" i="10"/>
  <c r="N121" i="10"/>
  <c r="M121" i="10" s="1"/>
  <c r="W108" i="12"/>
  <c r="P20" i="11"/>
  <c r="O20" i="11" s="1"/>
  <c r="U17" i="12"/>
  <c r="D17" i="12" s="1"/>
  <c r="C17" i="12" s="1"/>
  <c r="V17" i="12" s="1"/>
  <c r="U18" i="12"/>
  <c r="D18" i="12" s="1"/>
  <c r="C18" i="12" s="1"/>
  <c r="V18" i="12" s="1"/>
  <c r="U27" i="12"/>
  <c r="D27" i="12"/>
  <c r="C27" i="12" s="1"/>
  <c r="V27" i="12" s="1"/>
  <c r="U42" i="12"/>
  <c r="D42" i="12" s="1"/>
  <c r="C42" i="12" s="1"/>
  <c r="V42" i="12" s="1"/>
  <c r="U47" i="12"/>
  <c r="D47" i="12" s="1"/>
  <c r="C47" i="12" s="1"/>
  <c r="V47" i="12" s="1"/>
  <c r="U65" i="12"/>
  <c r="D65" i="12"/>
  <c r="C65" i="12" s="1"/>
  <c r="V65" i="12" s="1"/>
  <c r="U74" i="12"/>
  <c r="D74" i="12" s="1"/>
  <c r="C74" i="12" s="1"/>
  <c r="V74" i="12" s="1"/>
  <c r="U77" i="12"/>
  <c r="D77" i="12" s="1"/>
  <c r="C77" i="12" s="1"/>
  <c r="V77" i="12" s="1"/>
  <c r="U79" i="12"/>
  <c r="D79" i="12" s="1"/>
  <c r="C79" i="12" s="1"/>
  <c r="V79" i="12" s="1"/>
  <c r="U84" i="12"/>
  <c r="D84" i="12" s="1"/>
  <c r="C84" i="12" s="1"/>
  <c r="V84" i="12" s="1"/>
  <c r="U87" i="12"/>
  <c r="D87" i="12" s="1"/>
  <c r="C87" i="12" s="1"/>
  <c r="V87" i="12" s="1"/>
  <c r="U91" i="12"/>
  <c r="D91" i="12" s="1"/>
  <c r="C91" i="12" s="1"/>
  <c r="V91" i="12" s="1"/>
  <c r="U98" i="12"/>
  <c r="D98" i="12" s="1"/>
  <c r="C98" i="12" s="1"/>
  <c r="V98" i="12" s="1"/>
  <c r="U100" i="12"/>
  <c r="D100" i="12" s="1"/>
  <c r="C100" i="12" s="1"/>
  <c r="V100" i="12" s="1"/>
  <c r="U104" i="12"/>
  <c r="D104" i="12" s="1"/>
  <c r="C104" i="12" s="1"/>
  <c r="V104" i="12" s="1"/>
  <c r="U109" i="12"/>
  <c r="D109" i="12" s="1"/>
  <c r="C109" i="12" s="1"/>
  <c r="U15" i="12"/>
  <c r="D15" i="12"/>
  <c r="C15" i="12" s="1"/>
  <c r="V15" i="12" s="1"/>
  <c r="U21" i="12"/>
  <c r="D21" i="12"/>
  <c r="U25" i="12"/>
  <c r="D25" i="12" s="1"/>
  <c r="C25" i="12" s="1"/>
  <c r="V25" i="12" s="1"/>
  <c r="U31" i="12"/>
  <c r="D31" i="12" s="1"/>
  <c r="C31" i="12" s="1"/>
  <c r="V31" i="12" s="1"/>
  <c r="U35" i="12"/>
  <c r="D35" i="12" s="1"/>
  <c r="C35" i="12" s="1"/>
  <c r="V35" i="12" s="1"/>
  <c r="U36" i="12"/>
  <c r="D36" i="12" s="1"/>
  <c r="C36" i="12" s="1"/>
  <c r="V36" i="12" s="1"/>
  <c r="U39" i="12"/>
  <c r="D39" i="12" s="1"/>
  <c r="C39" i="12" s="1"/>
  <c r="V39" i="12" s="1"/>
  <c r="U40" i="12"/>
  <c r="D40" i="12" s="1"/>
  <c r="C40" i="12" s="1"/>
  <c r="V40" i="12" s="1"/>
  <c r="U41" i="12"/>
  <c r="D41" i="12" s="1"/>
  <c r="C41" i="12" s="1"/>
  <c r="V41" i="12" s="1"/>
  <c r="U43" i="12"/>
  <c r="D43" i="12" s="1"/>
  <c r="C43" i="12" s="1"/>
  <c r="V43" i="12" s="1"/>
  <c r="U46" i="12"/>
  <c r="D46" i="12" s="1"/>
  <c r="C46" i="12"/>
  <c r="V46" i="12" s="1"/>
  <c r="U48" i="12"/>
  <c r="D48" i="12" s="1"/>
  <c r="C48" i="12" s="1"/>
  <c r="V48" i="12" s="1"/>
  <c r="U61" i="12"/>
  <c r="D61" i="12" s="1"/>
  <c r="C61" i="12"/>
  <c r="V61" i="12" s="1"/>
  <c r="U78" i="12"/>
  <c r="D78" i="12" s="1"/>
  <c r="C78" i="12" s="1"/>
  <c r="V78" i="12" s="1"/>
  <c r="U81" i="12"/>
  <c r="D81" i="12" s="1"/>
  <c r="C81" i="12"/>
  <c r="V81" i="12" s="1"/>
  <c r="U89" i="12"/>
  <c r="D89" i="12" s="1"/>
  <c r="C89" i="12" s="1"/>
  <c r="V89" i="12" s="1"/>
  <c r="U93" i="12"/>
  <c r="D93" i="12" s="1"/>
  <c r="C93" i="12"/>
  <c r="V93" i="12" s="1"/>
  <c r="U96" i="12"/>
  <c r="D96" i="12" s="1"/>
  <c r="U83" i="12"/>
  <c r="D83" i="12"/>
  <c r="C83" i="12" s="1"/>
  <c r="V83" i="12" s="1"/>
  <c r="U90" i="12"/>
  <c r="D90" i="12" s="1"/>
  <c r="C90" i="12" s="1"/>
  <c r="V90" i="12" s="1"/>
  <c r="U105" i="12"/>
  <c r="D105" i="12"/>
  <c r="C105" i="12" s="1"/>
  <c r="V105" i="12" s="1"/>
  <c r="U106" i="12"/>
  <c r="D106" i="12" s="1"/>
  <c r="C106" i="12" s="1"/>
  <c r="V106" i="12" s="1"/>
  <c r="U37" i="12"/>
  <c r="D37" i="12"/>
  <c r="C37" i="12" s="1"/>
  <c r="V37" i="12" s="1"/>
  <c r="U55" i="12"/>
  <c r="D55" i="12" s="1"/>
  <c r="C55" i="12" s="1"/>
  <c r="V55" i="12" s="1"/>
  <c r="U97" i="12"/>
  <c r="D97" i="12"/>
  <c r="C97" i="12" s="1"/>
  <c r="V97" i="12" s="1"/>
  <c r="U110" i="12"/>
  <c r="D110" i="12" s="1"/>
  <c r="U113" i="12"/>
  <c r="D113" i="12"/>
  <c r="C113" i="12" s="1"/>
  <c r="U16" i="12"/>
  <c r="D16" i="12" s="1"/>
  <c r="C16" i="12" s="1"/>
  <c r="V16" i="12" s="1"/>
  <c r="U22" i="12"/>
  <c r="D22" i="12"/>
  <c r="C22" i="12" s="1"/>
  <c r="V22" i="12" s="1"/>
  <c r="U53" i="12"/>
  <c r="D53" i="12" s="1"/>
  <c r="C53" i="12" s="1"/>
  <c r="V53" i="12" s="1"/>
  <c r="U56" i="12"/>
  <c r="D56" i="12"/>
  <c r="C56" i="12" s="1"/>
  <c r="V56" i="12" s="1"/>
  <c r="U76" i="12"/>
  <c r="D76" i="12" s="1"/>
  <c r="C76" i="12" s="1"/>
  <c r="V76" i="12" s="1"/>
  <c r="U103" i="12"/>
  <c r="U23" i="12"/>
  <c r="D23" i="12" s="1"/>
  <c r="C23" i="12" s="1"/>
  <c r="V23" i="12" s="1"/>
  <c r="U99" i="12"/>
  <c r="D99" i="12"/>
  <c r="C99" i="12" s="1"/>
  <c r="V99" i="12" s="1"/>
  <c r="U57" i="12"/>
  <c r="D57" i="12" s="1"/>
  <c r="C57" i="12" s="1"/>
  <c r="V57" i="12" s="1"/>
  <c r="U86" i="12"/>
  <c r="D86" i="12"/>
  <c r="C86" i="12" s="1"/>
  <c r="V86" i="12" s="1"/>
  <c r="U111" i="12"/>
  <c r="D111" i="12" s="1"/>
  <c r="C111" i="12" s="1"/>
  <c r="V111" i="12" s="1"/>
  <c r="U29" i="12"/>
  <c r="D29" i="12"/>
  <c r="C29" i="12" s="1"/>
  <c r="V29" i="12" s="1"/>
  <c r="U32" i="12"/>
  <c r="D32" i="12" s="1"/>
  <c r="C32" i="12" s="1"/>
  <c r="V32" i="12" s="1"/>
  <c r="U67" i="12"/>
  <c r="R20" i="12"/>
  <c r="S121" i="12"/>
  <c r="R121" i="12" s="1"/>
  <c r="F116" i="12"/>
  <c r="W116" i="12" s="1"/>
  <c r="F28" i="10"/>
  <c r="E20" i="11"/>
  <c r="W53" i="12"/>
  <c r="L20" i="10"/>
  <c r="W97" i="11"/>
  <c r="O72" i="10"/>
  <c r="W72" i="10" s="1"/>
  <c r="V109" i="12"/>
  <c r="K20" i="10"/>
  <c r="L121" i="10"/>
  <c r="K121" i="10" s="1"/>
  <c r="W116" i="11"/>
  <c r="U102" i="12"/>
  <c r="D103" i="12"/>
  <c r="C103" i="12" s="1"/>
  <c r="V103" i="12" s="1"/>
  <c r="C21" i="12"/>
  <c r="V21" i="12" s="1"/>
  <c r="M72" i="12"/>
  <c r="C96" i="12"/>
  <c r="V96" i="12" s="1"/>
  <c r="C110" i="12" l="1"/>
  <c r="V110" i="12" s="1"/>
  <c r="U95" i="12"/>
  <c r="D95" i="12"/>
  <c r="C95" i="12" s="1"/>
  <c r="V95" i="12" s="1"/>
  <c r="D102" i="12"/>
  <c r="C102" i="12" s="1"/>
  <c r="V102" i="12" s="1"/>
  <c r="D67" i="10"/>
  <c r="C67" i="10" s="1"/>
  <c r="V67" i="10" s="1"/>
  <c r="K42" i="10"/>
  <c r="Y42" i="10" s="1"/>
  <c r="H42" i="10"/>
  <c r="F42" i="10" s="1"/>
  <c r="W42" i="10" s="1"/>
  <c r="K46" i="10"/>
  <c r="Y46" i="10" s="1"/>
  <c r="H46" i="10"/>
  <c r="F46" i="10" s="1"/>
  <c r="W46" i="10" s="1"/>
  <c r="U73" i="12"/>
  <c r="U63" i="12"/>
  <c r="D63" i="12" s="1"/>
  <c r="C63" i="12" s="1"/>
  <c r="V63" i="12" s="1"/>
  <c r="U44" i="12"/>
  <c r="D44" i="12" s="1"/>
  <c r="C44" i="12" s="1"/>
  <c r="V44" i="12" s="1"/>
  <c r="U26" i="12"/>
  <c r="D26" i="12" s="1"/>
  <c r="C26" i="12" s="1"/>
  <c r="V26" i="12" s="1"/>
  <c r="U11" i="12"/>
  <c r="D11" i="12" s="1"/>
  <c r="C11" i="12" s="1"/>
  <c r="V11" i="12" s="1"/>
  <c r="U10" i="12"/>
  <c r="U92" i="12"/>
  <c r="D92" i="12" s="1"/>
  <c r="C92" i="12" s="1"/>
  <c r="V92" i="12" s="1"/>
  <c r="U88" i="12"/>
  <c r="D88" i="12" s="1"/>
  <c r="C88" i="12" s="1"/>
  <c r="V88" i="12" s="1"/>
  <c r="U80" i="12"/>
  <c r="D80" i="12" s="1"/>
  <c r="C80" i="12" s="1"/>
  <c r="V80" i="12" s="1"/>
  <c r="U68" i="12"/>
  <c r="D68" i="12" s="1"/>
  <c r="C68" i="12" s="1"/>
  <c r="V68" i="12" s="1"/>
  <c r="U66" i="12"/>
  <c r="D66" i="12" s="1"/>
  <c r="C66" i="12" s="1"/>
  <c r="V66" i="12" s="1"/>
  <c r="U54" i="12"/>
  <c r="D54" i="12" s="1"/>
  <c r="C54" i="12" s="1"/>
  <c r="V54" i="12" s="1"/>
  <c r="U51" i="12"/>
  <c r="D51" i="12" s="1"/>
  <c r="C51" i="12" s="1"/>
  <c r="V51" i="12" s="1"/>
  <c r="U50" i="12"/>
  <c r="D50" i="12" s="1"/>
  <c r="C50" i="12" s="1"/>
  <c r="V50" i="12" s="1"/>
  <c r="U49" i="12"/>
  <c r="D49" i="12" s="1"/>
  <c r="C49" i="12" s="1"/>
  <c r="V49" i="12" s="1"/>
  <c r="U45" i="12"/>
  <c r="D45" i="12" s="1"/>
  <c r="C45" i="12" s="1"/>
  <c r="V45" i="12" s="1"/>
  <c r="U34" i="12"/>
  <c r="D34" i="12" s="1"/>
  <c r="C34" i="12" s="1"/>
  <c r="V34" i="12" s="1"/>
  <c r="U33" i="12"/>
  <c r="D33" i="12" s="1"/>
  <c r="C33" i="12" s="1"/>
  <c r="V33" i="12" s="1"/>
  <c r="U30" i="12"/>
  <c r="D30" i="12" s="1"/>
  <c r="C30" i="12" s="1"/>
  <c r="V30" i="12" s="1"/>
  <c r="U28" i="12"/>
  <c r="D28" i="12" s="1"/>
  <c r="C28" i="12" s="1"/>
  <c r="V28" i="12" s="1"/>
  <c r="U24" i="12"/>
  <c r="D24" i="12" s="1"/>
  <c r="C24" i="12" s="1"/>
  <c r="V24" i="12" s="1"/>
  <c r="U14" i="12"/>
  <c r="D14" i="12" s="1"/>
  <c r="C14" i="12" s="1"/>
  <c r="V14" i="12" s="1"/>
  <c r="U13" i="12"/>
  <c r="D13" i="12" s="1"/>
  <c r="C13" i="12" s="1"/>
  <c r="V13" i="12" s="1"/>
  <c r="U12" i="12"/>
  <c r="D12" i="12" s="1"/>
  <c r="C12" i="12" s="1"/>
  <c r="V12" i="12" s="1"/>
  <c r="U114" i="12"/>
  <c r="D114" i="12" s="1"/>
  <c r="C114" i="12" s="1"/>
  <c r="V114" i="12" s="1"/>
  <c r="U112" i="12"/>
  <c r="D112" i="12" s="1"/>
  <c r="C112" i="12" s="1"/>
  <c r="V112" i="12" s="1"/>
  <c r="U70" i="12"/>
  <c r="D70" i="12" s="1"/>
  <c r="C70" i="12" s="1"/>
  <c r="V70" i="12" s="1"/>
  <c r="E121" i="11"/>
  <c r="S121" i="11"/>
  <c r="R121" i="11" s="1"/>
  <c r="F12" i="11"/>
  <c r="W12" i="11" s="1"/>
  <c r="H9" i="11"/>
  <c r="F9" i="11" s="1"/>
  <c r="W9" i="11" s="1"/>
  <c r="W53" i="11"/>
  <c r="W24" i="10"/>
  <c r="M36" i="11"/>
  <c r="W72" i="12"/>
  <c r="F36" i="11"/>
  <c r="W36" i="11" s="1"/>
  <c r="W72" i="11"/>
  <c r="I121" i="10"/>
  <c r="E73" i="10"/>
  <c r="F55" i="10"/>
  <c r="W55" i="10" s="1"/>
  <c r="H53" i="10"/>
  <c r="F53" i="10" s="1"/>
  <c r="W53" i="10" s="1"/>
  <c r="X53" i="10"/>
  <c r="J20" i="10"/>
  <c r="X20" i="10" s="1"/>
  <c r="H31" i="10"/>
  <c r="F31" i="10" s="1"/>
  <c r="W31" i="10" s="1"/>
  <c r="K31" i="10"/>
  <c r="Y31" i="10" s="1"/>
  <c r="U25" i="10"/>
  <c r="D25" i="10" s="1"/>
  <c r="C25" i="10" s="1"/>
  <c r="V25" i="10" s="1"/>
  <c r="U42" i="10"/>
  <c r="U47" i="10"/>
  <c r="D47" i="10" s="1"/>
  <c r="C47" i="10" s="1"/>
  <c r="V47" i="10" s="1"/>
  <c r="U66" i="10"/>
  <c r="D66" i="10" s="1"/>
  <c r="C66" i="10" s="1"/>
  <c r="V66" i="10" s="1"/>
  <c r="U11" i="10"/>
  <c r="D11" i="10" s="1"/>
  <c r="C11" i="10" s="1"/>
  <c r="V11" i="10" s="1"/>
  <c r="U70" i="10"/>
  <c r="D70" i="10" s="1"/>
  <c r="C70" i="10" s="1"/>
  <c r="V70" i="10" s="1"/>
  <c r="U78" i="10"/>
  <c r="D78" i="10" s="1"/>
  <c r="C78" i="10" s="1"/>
  <c r="V78" i="10" s="1"/>
  <c r="U88" i="10"/>
  <c r="D88" i="10" s="1"/>
  <c r="C88" i="10" s="1"/>
  <c r="V88" i="10" s="1"/>
  <c r="U10" i="10"/>
  <c r="U22" i="10"/>
  <c r="D22" i="10" s="1"/>
  <c r="C22" i="10" s="1"/>
  <c r="V22" i="10" s="1"/>
  <c r="U27" i="10"/>
  <c r="D27" i="10" s="1"/>
  <c r="C27" i="10" s="1"/>
  <c r="V27" i="10" s="1"/>
  <c r="U30" i="10"/>
  <c r="D30" i="10" s="1"/>
  <c r="C30" i="10" s="1"/>
  <c r="V30" i="10" s="1"/>
  <c r="U18" i="10"/>
  <c r="D18" i="10" s="1"/>
  <c r="C18" i="10" s="1"/>
  <c r="V18" i="10" s="1"/>
  <c r="U28" i="10"/>
  <c r="D28" i="10" s="1"/>
  <c r="C28" i="10" s="1"/>
  <c r="V28" i="10" s="1"/>
  <c r="U53" i="10"/>
  <c r="D53" i="10" s="1"/>
  <c r="C53" i="10" s="1"/>
  <c r="V53" i="10" s="1"/>
  <c r="U74" i="10"/>
  <c r="D74" i="10" s="1"/>
  <c r="C74" i="10" s="1"/>
  <c r="V74" i="10" s="1"/>
  <c r="U90" i="10"/>
  <c r="D90" i="10" s="1"/>
  <c r="C90" i="10" s="1"/>
  <c r="V90" i="10" s="1"/>
  <c r="U92" i="10"/>
  <c r="D92" i="10" s="1"/>
  <c r="C92" i="10" s="1"/>
  <c r="V92" i="10" s="1"/>
  <c r="U109" i="10"/>
  <c r="D109" i="10" s="1"/>
  <c r="U112" i="10"/>
  <c r="D112" i="10" s="1"/>
  <c r="C112" i="10" s="1"/>
  <c r="V112" i="10" s="1"/>
  <c r="U15" i="10"/>
  <c r="D15" i="10" s="1"/>
  <c r="C15" i="10" s="1"/>
  <c r="V15" i="10" s="1"/>
  <c r="U23" i="10"/>
  <c r="D23" i="10" s="1"/>
  <c r="C23" i="10" s="1"/>
  <c r="V23" i="10" s="1"/>
  <c r="U33" i="10"/>
  <c r="D33" i="10" s="1"/>
  <c r="C33" i="10" s="1"/>
  <c r="V33" i="10" s="1"/>
  <c r="U36" i="10"/>
  <c r="D36" i="10" s="1"/>
  <c r="C36" i="10" s="1"/>
  <c r="V36" i="10" s="1"/>
  <c r="U45" i="10"/>
  <c r="D45" i="10" s="1"/>
  <c r="C45" i="10" s="1"/>
  <c r="V45" i="10" s="1"/>
  <c r="U77" i="10"/>
  <c r="D77" i="10" s="1"/>
  <c r="C77" i="10" s="1"/>
  <c r="V77" i="10" s="1"/>
  <c r="U79" i="10"/>
  <c r="D79" i="10" s="1"/>
  <c r="C79" i="10" s="1"/>
  <c r="V79" i="10" s="1"/>
  <c r="U81" i="10"/>
  <c r="D81" i="10" s="1"/>
  <c r="C81" i="10" s="1"/>
  <c r="V81" i="10" s="1"/>
  <c r="U84" i="10"/>
  <c r="D84" i="10" s="1"/>
  <c r="C84" i="10" s="1"/>
  <c r="V84" i="10" s="1"/>
  <c r="U97" i="10"/>
  <c r="D97" i="10" s="1"/>
  <c r="C97" i="10" s="1"/>
  <c r="V97" i="10" s="1"/>
  <c r="U99" i="10"/>
  <c r="D99" i="10" s="1"/>
  <c r="C99" i="10" s="1"/>
  <c r="V99" i="10" s="1"/>
  <c r="U104" i="10"/>
  <c r="D104" i="10" s="1"/>
  <c r="C104" i="10" s="1"/>
  <c r="V104" i="10" s="1"/>
  <c r="U113" i="10"/>
  <c r="D113" i="10" s="1"/>
  <c r="C113" i="10" s="1"/>
  <c r="V113" i="10" s="1"/>
  <c r="U13" i="10"/>
  <c r="D13" i="10" s="1"/>
  <c r="C13" i="10" s="1"/>
  <c r="V13" i="10" s="1"/>
  <c r="U14" i="10"/>
  <c r="D14" i="10" s="1"/>
  <c r="C14" i="10" s="1"/>
  <c r="V14" i="10" s="1"/>
  <c r="U24" i="10"/>
  <c r="D24" i="10" s="1"/>
  <c r="C24" i="10" s="1"/>
  <c r="V24" i="10" s="1"/>
  <c r="U34" i="10"/>
  <c r="D34" i="10" s="1"/>
  <c r="C34" i="10" s="1"/>
  <c r="V34" i="10" s="1"/>
  <c r="U98" i="10"/>
  <c r="D98" i="10" s="1"/>
  <c r="C98" i="10" s="1"/>
  <c r="V98" i="10" s="1"/>
  <c r="U103" i="10"/>
  <c r="U46" i="10"/>
  <c r="D46" i="10" s="1"/>
  <c r="C46" i="10" s="1"/>
  <c r="V46" i="10" s="1"/>
  <c r="U63" i="10"/>
  <c r="D63" i="10" s="1"/>
  <c r="C63" i="10" s="1"/>
  <c r="V63" i="10" s="1"/>
  <c r="U21" i="10"/>
  <c r="D21" i="10" s="1"/>
  <c r="U40" i="10"/>
  <c r="D40" i="10" s="1"/>
  <c r="C40" i="10" s="1"/>
  <c r="V40" i="10" s="1"/>
  <c r="U35" i="10"/>
  <c r="D35" i="10" s="1"/>
  <c r="C35" i="10" s="1"/>
  <c r="V35" i="10" s="1"/>
  <c r="U43" i="10"/>
  <c r="D43" i="10" s="1"/>
  <c r="C43" i="10" s="1"/>
  <c r="V43" i="10" s="1"/>
  <c r="U57" i="10"/>
  <c r="D57" i="10" s="1"/>
  <c r="C57" i="10" s="1"/>
  <c r="V57" i="10" s="1"/>
  <c r="U96" i="10"/>
  <c r="U105" i="10"/>
  <c r="D105" i="10" s="1"/>
  <c r="C105" i="10" s="1"/>
  <c r="V105" i="10" s="1"/>
  <c r="U29" i="10"/>
  <c r="D29" i="10" s="1"/>
  <c r="C29" i="10" s="1"/>
  <c r="V29" i="10" s="1"/>
  <c r="U65" i="10"/>
  <c r="D65" i="10" s="1"/>
  <c r="C65" i="10" s="1"/>
  <c r="V65" i="10" s="1"/>
  <c r="U83" i="10"/>
  <c r="D83" i="10" s="1"/>
  <c r="C83" i="10" s="1"/>
  <c r="V83" i="10" s="1"/>
  <c r="U100" i="10"/>
  <c r="D100" i="10" s="1"/>
  <c r="C100" i="10" s="1"/>
  <c r="V100" i="10" s="1"/>
  <c r="U86" i="10"/>
  <c r="D86" i="10" s="1"/>
  <c r="C86" i="10" s="1"/>
  <c r="V86" i="10" s="1"/>
  <c r="U38" i="10"/>
  <c r="D38" i="10" s="1"/>
  <c r="C38" i="10" s="1"/>
  <c r="V38" i="10" s="1"/>
  <c r="U55" i="10"/>
  <c r="D55" i="10" s="1"/>
  <c r="C55" i="10" s="1"/>
  <c r="V55" i="10" s="1"/>
  <c r="U16" i="10"/>
  <c r="D16" i="10" s="1"/>
  <c r="C16" i="10" s="1"/>
  <c r="V16" i="10" s="1"/>
  <c r="U50" i="10"/>
  <c r="D50" i="10" s="1"/>
  <c r="C50" i="10" s="1"/>
  <c r="V50" i="10" s="1"/>
  <c r="U67" i="10"/>
  <c r="U80" i="10"/>
  <c r="D80" i="10" s="1"/>
  <c r="C80" i="10" s="1"/>
  <c r="V80" i="10" s="1"/>
  <c r="U114" i="10"/>
  <c r="D114" i="10" s="1"/>
  <c r="C114" i="10" s="1"/>
  <c r="V114" i="10" s="1"/>
  <c r="U44" i="10"/>
  <c r="D44" i="10" s="1"/>
  <c r="C44" i="10" s="1"/>
  <c r="V44" i="10" s="1"/>
  <c r="U73" i="10"/>
  <c r="U72" i="10" s="1"/>
  <c r="U89" i="10"/>
  <c r="D89" i="10" s="1"/>
  <c r="C89" i="10" s="1"/>
  <c r="V89" i="10" s="1"/>
  <c r="U110" i="10"/>
  <c r="D110" i="10" s="1"/>
  <c r="C110" i="10" s="1"/>
  <c r="V110" i="10" s="1"/>
  <c r="U12" i="10"/>
  <c r="D12" i="10" s="1"/>
  <c r="C12" i="10" s="1"/>
  <c r="V12" i="10" s="1"/>
  <c r="U56" i="10"/>
  <c r="D56" i="10" s="1"/>
  <c r="C56" i="10" s="1"/>
  <c r="V56" i="10" s="1"/>
  <c r="U41" i="10"/>
  <c r="D41" i="10" s="1"/>
  <c r="C41" i="10" s="1"/>
  <c r="V41" i="10" s="1"/>
  <c r="U48" i="10"/>
  <c r="D48" i="10" s="1"/>
  <c r="C48" i="10" s="1"/>
  <c r="V48" i="10" s="1"/>
  <c r="U61" i="10"/>
  <c r="D61" i="10" s="1"/>
  <c r="C61" i="10" s="1"/>
  <c r="V61" i="10" s="1"/>
  <c r="U76" i="10"/>
  <c r="D76" i="10" s="1"/>
  <c r="C76" i="10" s="1"/>
  <c r="V76" i="10" s="1"/>
  <c r="U111" i="10"/>
  <c r="D111" i="10" s="1"/>
  <c r="C111" i="10" s="1"/>
  <c r="V111" i="10" s="1"/>
  <c r="U39" i="10"/>
  <c r="D39" i="10" s="1"/>
  <c r="C39" i="10" s="1"/>
  <c r="V39" i="10" s="1"/>
  <c r="U68" i="10"/>
  <c r="D68" i="10" s="1"/>
  <c r="C68" i="10" s="1"/>
  <c r="V68" i="10" s="1"/>
  <c r="U87" i="10"/>
  <c r="D87" i="10" s="1"/>
  <c r="C87" i="10" s="1"/>
  <c r="V87" i="10" s="1"/>
  <c r="U106" i="10"/>
  <c r="D106" i="10" s="1"/>
  <c r="C106" i="10" s="1"/>
  <c r="V106" i="10" s="1"/>
  <c r="U26" i="10"/>
  <c r="D26" i="10" s="1"/>
  <c r="C26" i="10" s="1"/>
  <c r="V26" i="10" s="1"/>
  <c r="U32" i="10"/>
  <c r="D32" i="10" s="1"/>
  <c r="C32" i="10" s="1"/>
  <c r="V32" i="10" s="1"/>
  <c r="U31" i="10"/>
  <c r="D31" i="10" s="1"/>
  <c r="C31" i="10" s="1"/>
  <c r="V31" i="10" s="1"/>
  <c r="X9" i="11"/>
  <c r="W120" i="10"/>
  <c r="W112" i="10"/>
  <c r="W109" i="10"/>
  <c r="Y73" i="10"/>
  <c r="W39" i="10"/>
  <c r="F100" i="11"/>
  <c r="W100" i="11" s="1"/>
  <c r="H95" i="11"/>
  <c r="F95" i="11" s="1"/>
  <c r="W95" i="11" s="1"/>
  <c r="W86" i="12"/>
  <c r="X116" i="10"/>
  <c r="Q121" i="10"/>
  <c r="W111" i="10"/>
  <c r="W100" i="10"/>
  <c r="W98" i="10"/>
  <c r="W96" i="10"/>
  <c r="J72" i="10"/>
  <c r="Y53" i="10"/>
  <c r="H49" i="10"/>
  <c r="F49" i="10" s="1"/>
  <c r="W49" i="10" s="1"/>
  <c r="K49" i="10"/>
  <c r="Y49" i="10" s="1"/>
  <c r="D49" i="10"/>
  <c r="C49" i="10" s="1"/>
  <c r="V49" i="10" s="1"/>
  <c r="W30" i="10"/>
  <c r="Y114" i="10"/>
  <c r="Y103" i="10"/>
  <c r="W93" i="10"/>
  <c r="W92" i="10"/>
  <c r="W90" i="10"/>
  <c r="W74" i="10"/>
  <c r="V69" i="10"/>
  <c r="W43" i="10"/>
  <c r="N53" i="11"/>
  <c r="M53" i="11" s="1"/>
  <c r="M57" i="11"/>
  <c r="W38" i="10"/>
  <c r="S20" i="10"/>
  <c r="Y27" i="10"/>
  <c r="W25" i="10"/>
  <c r="W23" i="10"/>
  <c r="K21" i="10"/>
  <c r="Y21" i="10" s="1"/>
  <c r="H21" i="10"/>
  <c r="Y13" i="10"/>
  <c r="H12" i="10"/>
  <c r="Y114" i="11"/>
  <c r="W105" i="11"/>
  <c r="W104" i="11"/>
  <c r="H102" i="11"/>
  <c r="F103" i="11"/>
  <c r="W83" i="11"/>
  <c r="W82" i="11"/>
  <c r="M78" i="11"/>
  <c r="N73" i="11"/>
  <c r="W62" i="11"/>
  <c r="W61" i="11"/>
  <c r="W26" i="11"/>
  <c r="W24" i="11"/>
  <c r="W109" i="12"/>
  <c r="W92" i="12"/>
  <c r="W66" i="12"/>
  <c r="W64" i="12"/>
  <c r="V59" i="12"/>
  <c r="D42" i="10"/>
  <c r="C42" i="10" s="1"/>
  <c r="V42" i="10" s="1"/>
  <c r="Y37" i="10"/>
  <c r="W34" i="10"/>
  <c r="B20" i="10"/>
  <c r="P28" i="10"/>
  <c r="W110" i="11"/>
  <c r="O103" i="11"/>
  <c r="P102" i="11"/>
  <c r="M99" i="11"/>
  <c r="N95" i="11"/>
  <c r="W91" i="11"/>
  <c r="W85" i="11"/>
  <c r="Y60" i="11"/>
  <c r="W50" i="11"/>
  <c r="W110" i="12"/>
  <c r="W80" i="12"/>
  <c r="Y63" i="12"/>
  <c r="Y62" i="12"/>
  <c r="H41" i="10"/>
  <c r="F41" i="10" s="1"/>
  <c r="W41" i="10" s="1"/>
  <c r="K41" i="10"/>
  <c r="Y41" i="10" s="1"/>
  <c r="T20" i="10"/>
  <c r="T121" i="10" s="1"/>
  <c r="Y16" i="10"/>
  <c r="P53" i="10"/>
  <c r="O53" i="10" s="1"/>
  <c r="W114" i="11"/>
  <c r="Y76" i="11"/>
  <c r="V59" i="11"/>
  <c r="B121" i="11"/>
  <c r="B8" i="11" s="1"/>
  <c r="L42" i="11"/>
  <c r="K44" i="11"/>
  <c r="Y44" i="11" s="1"/>
  <c r="W27" i="11"/>
  <c r="M113" i="12"/>
  <c r="V113" i="12" s="1"/>
  <c r="N108" i="12"/>
  <c r="X73" i="11"/>
  <c r="K46" i="11"/>
  <c r="Y46" i="11" s="1"/>
  <c r="O44" i="11"/>
  <c r="W44" i="11" s="1"/>
  <c r="Y23" i="11"/>
  <c r="V117" i="12"/>
  <c r="I121" i="12"/>
  <c r="W113" i="12"/>
  <c r="P95" i="12"/>
  <c r="O95" i="12" s="1"/>
  <c r="W95" i="12" s="1"/>
  <c r="O96" i="12"/>
  <c r="W96" i="12" s="1"/>
  <c r="Y90" i="12"/>
  <c r="V85" i="12"/>
  <c r="W78" i="12"/>
  <c r="V75" i="12"/>
  <c r="Y73" i="12"/>
  <c r="D69" i="12"/>
  <c r="C69" i="12" s="1"/>
  <c r="V69" i="12" s="1"/>
  <c r="E67" i="12"/>
  <c r="Y58" i="12"/>
  <c r="Y55" i="12"/>
  <c r="Y45" i="12"/>
  <c r="K44" i="12"/>
  <c r="Y44" i="12" s="1"/>
  <c r="L42" i="12"/>
  <c r="W38" i="12"/>
  <c r="W33" i="12"/>
  <c r="W25" i="12"/>
  <c r="W23" i="12"/>
  <c r="Y16" i="12"/>
  <c r="G9" i="12"/>
  <c r="O10" i="12"/>
  <c r="W10" i="12" s="1"/>
  <c r="P9" i="12"/>
  <c r="O9" i="12" s="1"/>
  <c r="W9" i="12" s="1"/>
  <c r="Y37" i="11"/>
  <c r="Y22" i="11"/>
  <c r="Y111" i="12"/>
  <c r="W103" i="12"/>
  <c r="Y76" i="12"/>
  <c r="Y69" i="12"/>
  <c r="V62" i="12"/>
  <c r="W58" i="12"/>
  <c r="W39" i="12"/>
  <c r="P36" i="12"/>
  <c r="W26" i="12"/>
  <c r="C14" i="18"/>
  <c r="V14" i="18" s="1"/>
  <c r="D11" i="18"/>
  <c r="C11" i="18" s="1"/>
  <c r="V11" i="18" s="1"/>
  <c r="U145" i="18"/>
  <c r="D143" i="18"/>
  <c r="D29" i="18"/>
  <c r="U3" i="18"/>
  <c r="Y108" i="12"/>
  <c r="Y106" i="12"/>
  <c r="T102" i="12"/>
  <c r="T121" i="12" s="1"/>
  <c r="P102" i="12"/>
  <c r="X95" i="12"/>
  <c r="G84" i="12"/>
  <c r="G72" i="12" s="1"/>
  <c r="G121" i="12" s="1"/>
  <c r="Y59" i="12"/>
  <c r="K49" i="12"/>
  <c r="Y49" i="12" s="1"/>
  <c r="H49" i="12"/>
  <c r="F49" i="12" s="1"/>
  <c r="W49" i="12" s="1"/>
  <c r="K31" i="12"/>
  <c r="Y31" i="12" s="1"/>
  <c r="H31" i="12"/>
  <c r="G36" i="18"/>
  <c r="F36" i="18" s="1"/>
  <c r="W36" i="18" s="1"/>
  <c r="K36" i="18"/>
  <c r="Y36" i="18" s="1"/>
  <c r="L145" i="18"/>
  <c r="M36" i="18"/>
  <c r="T145" i="18"/>
  <c r="T147" i="18" s="1"/>
  <c r="T149" i="18" s="1"/>
  <c r="D36" i="18"/>
  <c r="C36" i="18" s="1"/>
  <c r="E145" i="18"/>
  <c r="E149" i="18" s="1"/>
  <c r="E151" i="18" s="1"/>
  <c r="E153" i="18" s="1"/>
  <c r="R145" i="19"/>
  <c r="P145" i="19"/>
  <c r="O145" i="19" s="1"/>
  <c r="D26" i="19"/>
  <c r="C26" i="19" s="1"/>
  <c r="V26" i="19" s="1"/>
  <c r="C27" i="19"/>
  <c r="V27" i="19" s="1"/>
  <c r="C12" i="19"/>
  <c r="D11" i="19"/>
  <c r="C11" i="19" s="1"/>
  <c r="V11" i="19" s="1"/>
  <c r="C140" i="19"/>
  <c r="V140" i="19" s="1"/>
  <c r="D10" i="19"/>
  <c r="U3" i="19"/>
  <c r="K145" i="19"/>
  <c r="L2" i="19"/>
  <c r="G145" i="19"/>
  <c r="F145" i="19" s="1"/>
  <c r="D143" i="19"/>
  <c r="U145" i="19"/>
  <c r="Y36" i="19"/>
  <c r="C140" i="18"/>
  <c r="V140" i="18" s="1"/>
  <c r="C10" i="18"/>
  <c r="V10" i="18" s="1"/>
  <c r="E20" i="12" l="1"/>
  <c r="E121" i="12" s="1"/>
  <c r="D67" i="12"/>
  <c r="C67" i="12" s="1"/>
  <c r="V67" i="12" s="1"/>
  <c r="M108" i="12"/>
  <c r="N121" i="12"/>
  <c r="M121" i="12" s="1"/>
  <c r="F31" i="12"/>
  <c r="W31" i="12" s="1"/>
  <c r="O102" i="12"/>
  <c r="W102" i="12" s="1"/>
  <c r="P121" i="12"/>
  <c r="O121" i="12" s="1"/>
  <c r="C29" i="18"/>
  <c r="V29" i="18" s="1"/>
  <c r="D26" i="18"/>
  <c r="H42" i="12"/>
  <c r="F42" i="12" s="1"/>
  <c r="W42" i="12" s="1"/>
  <c r="K42" i="12"/>
  <c r="Y42" i="12" s="1"/>
  <c r="L20" i="12"/>
  <c r="O28" i="10"/>
  <c r="W28" i="10" s="1"/>
  <c r="P20" i="10"/>
  <c r="U3" i="10"/>
  <c r="U9" i="10"/>
  <c r="U121" i="10"/>
  <c r="D10" i="10"/>
  <c r="E72" i="10"/>
  <c r="E121" i="10" s="1"/>
  <c r="D73" i="10"/>
  <c r="U9" i="12"/>
  <c r="U121" i="12"/>
  <c r="U3" i="12"/>
  <c r="D10" i="12"/>
  <c r="K42" i="11"/>
  <c r="Y42" i="11" s="1"/>
  <c r="H42" i="11"/>
  <c r="L20" i="11"/>
  <c r="O102" i="11"/>
  <c r="P121" i="11"/>
  <c r="O121" i="11" s="1"/>
  <c r="D108" i="12"/>
  <c r="Y145" i="19"/>
  <c r="O36" i="12"/>
  <c r="W36" i="12" s="1"/>
  <c r="P20" i="12"/>
  <c r="O20" i="12" s="1"/>
  <c r="U81" i="11"/>
  <c r="D81" i="11" s="1"/>
  <c r="C81" i="11" s="1"/>
  <c r="V81" i="11" s="1"/>
  <c r="U86" i="11"/>
  <c r="D86" i="11" s="1"/>
  <c r="C86" i="11" s="1"/>
  <c r="V86" i="11" s="1"/>
  <c r="U90" i="11"/>
  <c r="D90" i="11" s="1"/>
  <c r="C90" i="11" s="1"/>
  <c r="V90" i="11" s="1"/>
  <c r="U13" i="11"/>
  <c r="D13" i="11" s="1"/>
  <c r="C13" i="11" s="1"/>
  <c r="V13" i="11" s="1"/>
  <c r="U14" i="11"/>
  <c r="D14" i="11" s="1"/>
  <c r="C14" i="11" s="1"/>
  <c r="V14" i="11" s="1"/>
  <c r="U27" i="11"/>
  <c r="D27" i="11" s="1"/>
  <c r="C27" i="11" s="1"/>
  <c r="V27" i="11" s="1"/>
  <c r="U28" i="11"/>
  <c r="D28" i="11" s="1"/>
  <c r="C28" i="11" s="1"/>
  <c r="V28" i="11" s="1"/>
  <c r="U30" i="11"/>
  <c r="D30" i="11" s="1"/>
  <c r="C30" i="11" s="1"/>
  <c r="V30" i="11" s="1"/>
  <c r="U31" i="11"/>
  <c r="D31" i="11" s="1"/>
  <c r="C31" i="11" s="1"/>
  <c r="V31" i="11" s="1"/>
  <c r="U16" i="11"/>
  <c r="D16" i="11" s="1"/>
  <c r="C16" i="11" s="1"/>
  <c r="V16" i="11" s="1"/>
  <c r="U25" i="11"/>
  <c r="D25" i="11" s="1"/>
  <c r="C25" i="11" s="1"/>
  <c r="V25" i="11" s="1"/>
  <c r="U48" i="11"/>
  <c r="D48" i="11" s="1"/>
  <c r="C48" i="11" s="1"/>
  <c r="V48" i="11" s="1"/>
  <c r="U54" i="11"/>
  <c r="D54" i="11" s="1"/>
  <c r="C54" i="11" s="1"/>
  <c r="V54" i="11" s="1"/>
  <c r="U77" i="11"/>
  <c r="D77" i="11" s="1"/>
  <c r="C77" i="11" s="1"/>
  <c r="V77" i="11" s="1"/>
  <c r="U80" i="11"/>
  <c r="D80" i="11" s="1"/>
  <c r="C80" i="11" s="1"/>
  <c r="V80" i="11" s="1"/>
  <c r="U87" i="11"/>
  <c r="D87" i="11" s="1"/>
  <c r="C87" i="11" s="1"/>
  <c r="V87" i="11" s="1"/>
  <c r="U91" i="11"/>
  <c r="D91" i="11" s="1"/>
  <c r="C91" i="11" s="1"/>
  <c r="V91" i="11" s="1"/>
  <c r="U97" i="11"/>
  <c r="D97" i="11" s="1"/>
  <c r="C97" i="11" s="1"/>
  <c r="V97" i="11" s="1"/>
  <c r="U99" i="11"/>
  <c r="D99" i="11" s="1"/>
  <c r="C99" i="11" s="1"/>
  <c r="V99" i="11" s="1"/>
  <c r="U106" i="11"/>
  <c r="D106" i="11" s="1"/>
  <c r="C106" i="11" s="1"/>
  <c r="V106" i="11" s="1"/>
  <c r="U66" i="11"/>
  <c r="D66" i="11" s="1"/>
  <c r="C66" i="11" s="1"/>
  <c r="V66" i="11" s="1"/>
  <c r="U39" i="11"/>
  <c r="D39" i="11" s="1"/>
  <c r="C39" i="11" s="1"/>
  <c r="V39" i="11" s="1"/>
  <c r="U40" i="11"/>
  <c r="D40" i="11" s="1"/>
  <c r="C40" i="11" s="1"/>
  <c r="V40" i="11" s="1"/>
  <c r="U41" i="11"/>
  <c r="D41" i="11" s="1"/>
  <c r="C41" i="11" s="1"/>
  <c r="V41" i="11" s="1"/>
  <c r="U44" i="11"/>
  <c r="D44" i="11" s="1"/>
  <c r="C44" i="11" s="1"/>
  <c r="V44" i="11" s="1"/>
  <c r="U47" i="11"/>
  <c r="D47" i="11" s="1"/>
  <c r="C47" i="11" s="1"/>
  <c r="V47" i="11" s="1"/>
  <c r="U49" i="11"/>
  <c r="D49" i="11" s="1"/>
  <c r="C49" i="11" s="1"/>
  <c r="V49" i="11" s="1"/>
  <c r="U73" i="11"/>
  <c r="U55" i="11"/>
  <c r="D55" i="11" s="1"/>
  <c r="C55" i="11" s="1"/>
  <c r="V55" i="11" s="1"/>
  <c r="U56" i="11"/>
  <c r="D56" i="11" s="1"/>
  <c r="C56" i="11" s="1"/>
  <c r="V56" i="11" s="1"/>
  <c r="U57" i="11"/>
  <c r="D57" i="11" s="1"/>
  <c r="C57" i="11" s="1"/>
  <c r="V57" i="11" s="1"/>
  <c r="U63" i="11"/>
  <c r="D63" i="11" s="1"/>
  <c r="C63" i="11" s="1"/>
  <c r="V63" i="11" s="1"/>
  <c r="U70" i="11"/>
  <c r="D70" i="11" s="1"/>
  <c r="C70" i="11" s="1"/>
  <c r="V70" i="11" s="1"/>
  <c r="U10" i="11"/>
  <c r="U111" i="11"/>
  <c r="D111" i="11" s="1"/>
  <c r="C111" i="11" s="1"/>
  <c r="V111" i="11" s="1"/>
  <c r="U21" i="11"/>
  <c r="D21" i="11" s="1"/>
  <c r="U110" i="11"/>
  <c r="D110" i="11" s="1"/>
  <c r="C110" i="11" s="1"/>
  <c r="V110" i="11" s="1"/>
  <c r="U112" i="11"/>
  <c r="D112" i="11" s="1"/>
  <c r="C112" i="11" s="1"/>
  <c r="V112" i="11" s="1"/>
  <c r="U114" i="11"/>
  <c r="D114" i="11" s="1"/>
  <c r="C114" i="11" s="1"/>
  <c r="V114" i="11" s="1"/>
  <c r="U89" i="11"/>
  <c r="D89" i="11" s="1"/>
  <c r="C89" i="11" s="1"/>
  <c r="V89" i="11" s="1"/>
  <c r="U29" i="11"/>
  <c r="D29" i="11" s="1"/>
  <c r="C29" i="11" s="1"/>
  <c r="V29" i="11" s="1"/>
  <c r="U68" i="11"/>
  <c r="D68" i="11" s="1"/>
  <c r="C68" i="11" s="1"/>
  <c r="V68" i="11" s="1"/>
  <c r="U104" i="11"/>
  <c r="D104" i="11" s="1"/>
  <c r="C104" i="11" s="1"/>
  <c r="V104" i="11" s="1"/>
  <c r="U105" i="11"/>
  <c r="D105" i="11" s="1"/>
  <c r="C105" i="11" s="1"/>
  <c r="V105" i="11" s="1"/>
  <c r="U113" i="11"/>
  <c r="D113" i="11" s="1"/>
  <c r="C113" i="11" s="1"/>
  <c r="V113" i="11" s="1"/>
  <c r="U65" i="11"/>
  <c r="D65" i="11" s="1"/>
  <c r="C65" i="11" s="1"/>
  <c r="V65" i="11" s="1"/>
  <c r="U84" i="11"/>
  <c r="D84" i="11" s="1"/>
  <c r="C84" i="11" s="1"/>
  <c r="V84" i="11" s="1"/>
  <c r="U78" i="11"/>
  <c r="D78" i="11" s="1"/>
  <c r="C78" i="11" s="1"/>
  <c r="V78" i="11" s="1"/>
  <c r="U15" i="11"/>
  <c r="D15" i="11" s="1"/>
  <c r="C15" i="11" s="1"/>
  <c r="V15" i="11" s="1"/>
  <c r="U24" i="11"/>
  <c r="D24" i="11" s="1"/>
  <c r="C24" i="11" s="1"/>
  <c r="V24" i="11" s="1"/>
  <c r="U32" i="11"/>
  <c r="D32" i="11" s="1"/>
  <c r="C32" i="11" s="1"/>
  <c r="V32" i="11" s="1"/>
  <c r="U38" i="11"/>
  <c r="D38" i="11" s="1"/>
  <c r="C38" i="11" s="1"/>
  <c r="V38" i="11" s="1"/>
  <c r="U45" i="11"/>
  <c r="D45" i="11" s="1"/>
  <c r="C45" i="11" s="1"/>
  <c r="V45" i="11" s="1"/>
  <c r="U46" i="11"/>
  <c r="D46" i="11" s="1"/>
  <c r="C46" i="11" s="1"/>
  <c r="V46" i="11" s="1"/>
  <c r="U12" i="11"/>
  <c r="D12" i="11" s="1"/>
  <c r="C12" i="11" s="1"/>
  <c r="V12" i="11" s="1"/>
  <c r="U109" i="11"/>
  <c r="D109" i="11" s="1"/>
  <c r="U17" i="11"/>
  <c r="D17" i="11" s="1"/>
  <c r="C17" i="11" s="1"/>
  <c r="V17" i="11" s="1"/>
  <c r="U26" i="11"/>
  <c r="D26" i="11" s="1"/>
  <c r="C26" i="11" s="1"/>
  <c r="V26" i="11" s="1"/>
  <c r="U67" i="11"/>
  <c r="D67" i="11" s="1"/>
  <c r="C67" i="11" s="1"/>
  <c r="V67" i="11" s="1"/>
  <c r="U53" i="11"/>
  <c r="D53" i="11" s="1"/>
  <c r="C53" i="11" s="1"/>
  <c r="V53" i="11" s="1"/>
  <c r="U79" i="11"/>
  <c r="D79" i="11" s="1"/>
  <c r="C79" i="11" s="1"/>
  <c r="V79" i="11" s="1"/>
  <c r="U103" i="11"/>
  <c r="U88" i="11"/>
  <c r="D88" i="11" s="1"/>
  <c r="C88" i="11" s="1"/>
  <c r="V88" i="11" s="1"/>
  <c r="U22" i="11"/>
  <c r="D22" i="11" s="1"/>
  <c r="C22" i="11" s="1"/>
  <c r="V22" i="11" s="1"/>
  <c r="U34" i="11"/>
  <c r="D34" i="11" s="1"/>
  <c r="C34" i="11" s="1"/>
  <c r="V34" i="11" s="1"/>
  <c r="U51" i="11"/>
  <c r="D51" i="11" s="1"/>
  <c r="C51" i="11" s="1"/>
  <c r="V51" i="11" s="1"/>
  <c r="U37" i="11"/>
  <c r="D37" i="11" s="1"/>
  <c r="C37" i="11" s="1"/>
  <c r="V37" i="11" s="1"/>
  <c r="U43" i="11"/>
  <c r="D43" i="11" s="1"/>
  <c r="C43" i="11" s="1"/>
  <c r="V43" i="11" s="1"/>
  <c r="U98" i="11"/>
  <c r="D98" i="11" s="1"/>
  <c r="C98" i="11" s="1"/>
  <c r="V98" i="11" s="1"/>
  <c r="U74" i="11"/>
  <c r="D74" i="11" s="1"/>
  <c r="C74" i="11" s="1"/>
  <c r="V74" i="11" s="1"/>
  <c r="U11" i="11"/>
  <c r="D11" i="11" s="1"/>
  <c r="C11" i="11" s="1"/>
  <c r="V11" i="11" s="1"/>
  <c r="U23" i="11"/>
  <c r="D23" i="11" s="1"/>
  <c r="C23" i="11" s="1"/>
  <c r="V23" i="11" s="1"/>
  <c r="U36" i="11"/>
  <c r="D36" i="11" s="1"/>
  <c r="C36" i="11" s="1"/>
  <c r="V36" i="11" s="1"/>
  <c r="U61" i="11"/>
  <c r="D61" i="11" s="1"/>
  <c r="C61" i="11" s="1"/>
  <c r="V61" i="11" s="1"/>
  <c r="U42" i="11"/>
  <c r="D42" i="11" s="1"/>
  <c r="C42" i="11" s="1"/>
  <c r="V42" i="11" s="1"/>
  <c r="U76" i="11"/>
  <c r="D76" i="11" s="1"/>
  <c r="C76" i="11" s="1"/>
  <c r="V76" i="11" s="1"/>
  <c r="U100" i="11"/>
  <c r="D100" i="11" s="1"/>
  <c r="C100" i="11" s="1"/>
  <c r="V100" i="11" s="1"/>
  <c r="U83" i="11"/>
  <c r="D83" i="11" s="1"/>
  <c r="C83" i="11" s="1"/>
  <c r="V83" i="11" s="1"/>
  <c r="U93" i="11"/>
  <c r="D93" i="11" s="1"/>
  <c r="C93" i="11" s="1"/>
  <c r="V93" i="11" s="1"/>
  <c r="U50" i="11"/>
  <c r="D50" i="11" s="1"/>
  <c r="C50" i="11" s="1"/>
  <c r="V50" i="11" s="1"/>
  <c r="U96" i="11"/>
  <c r="U18" i="11"/>
  <c r="D18" i="11" s="1"/>
  <c r="C18" i="11" s="1"/>
  <c r="V18" i="11" s="1"/>
  <c r="U33" i="11"/>
  <c r="D33" i="11" s="1"/>
  <c r="C33" i="11" s="1"/>
  <c r="V33" i="11" s="1"/>
  <c r="U92" i="11"/>
  <c r="D92" i="11" s="1"/>
  <c r="C92" i="11" s="1"/>
  <c r="V92" i="11" s="1"/>
  <c r="U35" i="11"/>
  <c r="D35" i="11" s="1"/>
  <c r="C35" i="11" s="1"/>
  <c r="V35" i="11" s="1"/>
  <c r="M73" i="11"/>
  <c r="N72" i="11"/>
  <c r="M72" i="11" s="1"/>
  <c r="W103" i="11"/>
  <c r="R20" i="10"/>
  <c r="Y20" i="10" s="1"/>
  <c r="S121" i="10"/>
  <c r="R121" i="10" s="1"/>
  <c r="Y121" i="10" s="1"/>
  <c r="D96" i="10"/>
  <c r="U95" i="10"/>
  <c r="D103" i="10"/>
  <c r="U102" i="10"/>
  <c r="C109" i="10"/>
  <c r="V109" i="10" s="1"/>
  <c r="D108" i="10"/>
  <c r="N20" i="11"/>
  <c r="M20" i="11" s="1"/>
  <c r="D20" i="12"/>
  <c r="C20" i="12" s="1"/>
  <c r="V20" i="12" s="1"/>
  <c r="F21" i="10"/>
  <c r="W21" i="10" s="1"/>
  <c r="H20" i="10"/>
  <c r="U72" i="12"/>
  <c r="D73" i="12"/>
  <c r="M95" i="11"/>
  <c r="F102" i="11"/>
  <c r="F12" i="10"/>
  <c r="W12" i="10" s="1"/>
  <c r="H9" i="10"/>
  <c r="F9" i="10" s="1"/>
  <c r="W9" i="10" s="1"/>
  <c r="X72" i="10"/>
  <c r="J121" i="10"/>
  <c r="X121" i="10" s="1"/>
  <c r="C21" i="10"/>
  <c r="V21" i="10" s="1"/>
  <c r="D20" i="10"/>
  <c r="C20" i="10" s="1"/>
  <c r="V20" i="10" s="1"/>
  <c r="V36" i="18"/>
  <c r="G145" i="18"/>
  <c r="F145" i="18" s="1"/>
  <c r="W145" i="18" s="1"/>
  <c r="K145" i="18"/>
  <c r="Y145" i="18" s="1"/>
  <c r="L2" i="18"/>
  <c r="M145" i="18"/>
  <c r="C10" i="19"/>
  <c r="V10" i="19" s="1"/>
  <c r="D9" i="19"/>
  <c r="W145" i="19"/>
  <c r="D103" i="11" l="1"/>
  <c r="U102" i="11"/>
  <c r="U121" i="11"/>
  <c r="U3" i="11"/>
  <c r="D10" i="11"/>
  <c r="U9" i="11"/>
  <c r="K20" i="11"/>
  <c r="Y20" i="11" s="1"/>
  <c r="L121" i="11"/>
  <c r="K121" i="11" s="1"/>
  <c r="Y121" i="11" s="1"/>
  <c r="W102" i="11"/>
  <c r="C103" i="10"/>
  <c r="V103" i="10" s="1"/>
  <c r="D102" i="10"/>
  <c r="C102" i="10" s="1"/>
  <c r="V102" i="10" s="1"/>
  <c r="D96" i="11"/>
  <c r="U95" i="11"/>
  <c r="C108" i="12"/>
  <c r="V108" i="12" s="1"/>
  <c r="F42" i="11"/>
  <c r="W42" i="11" s="1"/>
  <c r="H20" i="11"/>
  <c r="D9" i="10"/>
  <c r="C9" i="10" s="1"/>
  <c r="V9" i="10" s="1"/>
  <c r="C10" i="10"/>
  <c r="V10" i="10" s="1"/>
  <c r="O20" i="10"/>
  <c r="P121" i="10"/>
  <c r="O121" i="10" s="1"/>
  <c r="N121" i="11"/>
  <c r="M121" i="11" s="1"/>
  <c r="F20" i="10"/>
  <c r="H121" i="10"/>
  <c r="F121" i="10" s="1"/>
  <c r="W121" i="10" s="1"/>
  <c r="C108" i="10"/>
  <c r="V108" i="10" s="1"/>
  <c r="D108" i="11"/>
  <c r="C109" i="11"/>
  <c r="V109" i="11" s="1"/>
  <c r="D20" i="11"/>
  <c r="C20" i="11" s="1"/>
  <c r="V20" i="11" s="1"/>
  <c r="C21" i="11"/>
  <c r="V21" i="11" s="1"/>
  <c r="D73" i="11"/>
  <c r="U72" i="11"/>
  <c r="C26" i="18"/>
  <c r="V26" i="18" s="1"/>
  <c r="D9" i="18"/>
  <c r="H20" i="12"/>
  <c r="C73" i="12"/>
  <c r="V73" i="12" s="1"/>
  <c r="D72" i="12"/>
  <c r="C72" i="12" s="1"/>
  <c r="V72" i="12" s="1"/>
  <c r="C96" i="10"/>
  <c r="V96" i="10" s="1"/>
  <c r="D95" i="10"/>
  <c r="C95" i="10" s="1"/>
  <c r="V95" i="10" s="1"/>
  <c r="C10" i="12"/>
  <c r="V10" i="12" s="1"/>
  <c r="D9" i="12"/>
  <c r="C9" i="12" s="1"/>
  <c r="V9" i="12" s="1"/>
  <c r="C73" i="10"/>
  <c r="V73" i="10" s="1"/>
  <c r="D72" i="10"/>
  <c r="C72" i="10" s="1"/>
  <c r="V72" i="10" s="1"/>
  <c r="K20" i="12"/>
  <c r="Y20" i="12" s="1"/>
  <c r="L121" i="12"/>
  <c r="K121" i="12" s="1"/>
  <c r="Y121" i="12" s="1"/>
  <c r="C9" i="19"/>
  <c r="V9" i="19" s="1"/>
  <c r="D145" i="19"/>
  <c r="F20" i="12" l="1"/>
  <c r="W20" i="12" s="1"/>
  <c r="H121" i="12"/>
  <c r="F121" i="12" s="1"/>
  <c r="W121" i="12" s="1"/>
  <c r="C73" i="11"/>
  <c r="V73" i="11" s="1"/>
  <c r="D72" i="11"/>
  <c r="C72" i="11" s="1"/>
  <c r="V72" i="11" s="1"/>
  <c r="C108" i="11"/>
  <c r="V108" i="11" s="1"/>
  <c r="W20" i="10"/>
  <c r="C9" i="18"/>
  <c r="V9" i="18" s="1"/>
  <c r="D145" i="18"/>
  <c r="D121" i="12"/>
  <c r="C121" i="12" s="1"/>
  <c r="V121" i="12" s="1"/>
  <c r="C96" i="11"/>
  <c r="V96" i="11" s="1"/>
  <c r="D95" i="11"/>
  <c r="C95" i="11" s="1"/>
  <c r="V95" i="11" s="1"/>
  <c r="D121" i="10"/>
  <c r="C121" i="10" s="1"/>
  <c r="V121" i="10" s="1"/>
  <c r="F20" i="11"/>
  <c r="W20" i="11" s="1"/>
  <c r="H121" i="11"/>
  <c r="F121" i="11" s="1"/>
  <c r="W121" i="11" s="1"/>
  <c r="D9" i="11"/>
  <c r="C9" i="11" s="1"/>
  <c r="V9" i="11" s="1"/>
  <c r="C10" i="11"/>
  <c r="V10" i="11" s="1"/>
  <c r="C103" i="11"/>
  <c r="V103" i="11" s="1"/>
  <c r="D102" i="11"/>
  <c r="C102" i="11" s="1"/>
  <c r="V102" i="11" s="1"/>
  <c r="C145" i="19"/>
  <c r="V145" i="19" s="1"/>
  <c r="D2" i="19"/>
  <c r="D2" i="18" l="1"/>
  <c r="C145" i="18"/>
  <c r="V145" i="18" s="1"/>
  <c r="D121" i="11"/>
  <c r="C121" i="11" s="1"/>
  <c r="V121" i="11" s="1"/>
  <c r="D45" i="49" l="1"/>
  <c r="D108" i="49"/>
  <c r="C108" i="49" s="1"/>
  <c r="V108" i="49" s="1"/>
  <c r="C45" i="49" l="1"/>
  <c r="Z45" i="49" s="1"/>
  <c r="D177" i="49"/>
  <c r="D181" i="49" s="1"/>
  <c r="D2" i="49" l="1"/>
  <c r="V45" i="49"/>
  <c r="C177" i="49"/>
  <c r="C181" i="49" s="1"/>
  <c r="Z176" i="49" l="1"/>
  <c r="V177" i="49"/>
  <c r="V181" i="49" s="1"/>
</calcChain>
</file>

<file path=xl/sharedStrings.xml><?xml version="1.0" encoding="utf-8"?>
<sst xmlns="http://schemas.openxmlformats.org/spreadsheetml/2006/main" count="1186" uniqueCount="445">
  <si>
    <t>9212 Biodiversietet 2010</t>
  </si>
  <si>
    <t>9213 Naturpleje</t>
  </si>
  <si>
    <t>9214 Kram et træ</t>
  </si>
  <si>
    <t>9215 Havet omkring danmark</t>
  </si>
  <si>
    <t>9216 Vilde dyr</t>
  </si>
  <si>
    <t>9133 Natura 2000</t>
  </si>
  <si>
    <t>9231 Lobby</t>
  </si>
  <si>
    <t>9234 Klimaneutralt landbrug</t>
  </si>
  <si>
    <t>9241 Lobby</t>
  </si>
  <si>
    <t>9242 Klimakommuner</t>
  </si>
  <si>
    <t>9243 Lokale klimatopmøder</t>
  </si>
  <si>
    <t>971 Finansiering</t>
  </si>
  <si>
    <t>9244 Øksnehallen</t>
  </si>
  <si>
    <t>9251 Lobby</t>
  </si>
  <si>
    <t>9252 Landsindsamling affald</t>
  </si>
  <si>
    <t>9261 Lobby</t>
  </si>
  <si>
    <t>9262 Grønne Kommuner</t>
  </si>
  <si>
    <t>9273 Naturvejledning</t>
  </si>
  <si>
    <t>9274 Fredede områder</t>
  </si>
  <si>
    <t>9281 Børn og unge drift</t>
  </si>
  <si>
    <t>9282 Vandtjek</t>
  </si>
  <si>
    <t>9283 Klimakaravanen</t>
  </si>
  <si>
    <t>9293 100 års fødselsdag</t>
  </si>
  <si>
    <t>9311 Naturens universitet</t>
  </si>
  <si>
    <t>9313 Organisatorisk rådgivning</t>
  </si>
  <si>
    <t>9315 Projektpuljen</t>
  </si>
  <si>
    <t>9316 DN aktive</t>
  </si>
  <si>
    <t>9318 Giv naturen en hånd</t>
  </si>
  <si>
    <t>9324 Studenterkomiteer</t>
  </si>
  <si>
    <t>9325 Repræsentantskab</t>
  </si>
  <si>
    <t>9326 Forretningsudvalg</t>
  </si>
  <si>
    <t>9327 Præsident</t>
  </si>
  <si>
    <t>9328 Faglige udvalg</t>
  </si>
  <si>
    <t xml:space="preserve">  </t>
  </si>
  <si>
    <t>9319 Frivillig i DN</t>
  </si>
  <si>
    <t>9291 Lobby</t>
  </si>
  <si>
    <t>Årsværk</t>
  </si>
  <si>
    <t xml:space="preserve">        Øvrige</t>
  </si>
  <si>
    <t xml:space="preserve">         Øvrige</t>
  </si>
  <si>
    <t>Lønudgift</t>
  </si>
  <si>
    <t>projekt</t>
  </si>
  <si>
    <t>løn +pro</t>
  </si>
  <si>
    <t>årsbudget inc løn</t>
  </si>
  <si>
    <t>Budget Indtægter</t>
  </si>
  <si>
    <t>9132 Miljøvurdering</t>
  </si>
  <si>
    <t>9134 Vandområdepl</t>
  </si>
  <si>
    <t>9135 Nationalparker</t>
  </si>
  <si>
    <t>9211 Lobby</t>
  </si>
  <si>
    <t>2. NATIONALE EMNER</t>
  </si>
  <si>
    <t>1. LOKALE SAGER</t>
  </si>
  <si>
    <t xml:space="preserve">911 Fredning </t>
  </si>
  <si>
    <t xml:space="preserve">913 Plansager </t>
  </si>
  <si>
    <t>9131 Kommuneplaner</t>
  </si>
  <si>
    <t>921 Natur, vand og landskab</t>
  </si>
  <si>
    <t>9222 Fredtidens natur II</t>
  </si>
  <si>
    <t xml:space="preserve">922 Planlægning </t>
  </si>
  <si>
    <t xml:space="preserve">923 Landbrug </t>
  </si>
  <si>
    <t>912 Klagesager</t>
  </si>
  <si>
    <t xml:space="preserve">914 Diverse lokale </t>
  </si>
  <si>
    <t xml:space="preserve">924 Klima, energi, transport </t>
  </si>
  <si>
    <t>925 Produktion og forbrug</t>
  </si>
  <si>
    <t xml:space="preserve">926 Natur og miljøforvaltning </t>
  </si>
  <si>
    <t xml:space="preserve">927 Naturoplevelser </t>
  </si>
  <si>
    <t xml:space="preserve">928 Børn og unge </t>
  </si>
  <si>
    <t xml:space="preserve">929 Diverse nationalt </t>
  </si>
  <si>
    <t xml:space="preserve">931 Organisation </t>
  </si>
  <si>
    <t xml:space="preserve">932 Organisatoriske enheder </t>
  </si>
  <si>
    <t xml:space="preserve">941 Kommunikationsstyring </t>
  </si>
  <si>
    <t xml:space="preserve">942 Pressekontakt </t>
  </si>
  <si>
    <t xml:space="preserve">943 Hjemmeside e-komm </t>
  </si>
  <si>
    <t xml:space="preserve">944 Medlemsblad </t>
  </si>
  <si>
    <t xml:space="preserve">945 Kommunikationsstøtte til afd </t>
  </si>
  <si>
    <t xml:space="preserve">951 Medlemsadministration </t>
  </si>
  <si>
    <t xml:space="preserve">952 Medlemstegning </t>
  </si>
  <si>
    <t xml:space="preserve">953 Fundrasising blandt medl. </t>
  </si>
  <si>
    <t xml:space="preserve">954 Varesalg </t>
  </si>
  <si>
    <t xml:space="preserve">961 Ledelse </t>
  </si>
  <si>
    <t xml:space="preserve">962 Personale </t>
  </si>
  <si>
    <t>963 Sekretariatsfunktioner</t>
  </si>
  <si>
    <t xml:space="preserve">964 Husfunktioner </t>
  </si>
  <si>
    <t xml:space="preserve">965 Økonomi </t>
  </si>
  <si>
    <t xml:space="preserve">967 IT </t>
  </si>
  <si>
    <t xml:space="preserve">981 Det grønne kontaktudvalg </t>
  </si>
  <si>
    <t>3. ORGANISATION</t>
  </si>
  <si>
    <t>4. KOMMUNIKATION</t>
  </si>
  <si>
    <t>5. MEDLEMMER OG BIDRAGSYDERE</t>
  </si>
  <si>
    <t>6. ADMINISTRATIVE STØTTEYDELSER</t>
  </si>
  <si>
    <t>7. FINANSIERING</t>
  </si>
  <si>
    <t>Budget ½ år</t>
  </si>
  <si>
    <t xml:space="preserve">Budget </t>
  </si>
  <si>
    <t>Budget 09</t>
  </si>
  <si>
    <t>Reelt ½ år</t>
  </si>
  <si>
    <t>9221 Lobby</t>
  </si>
  <si>
    <t>9285 Børns brug af naturen</t>
  </si>
  <si>
    <t>9288 Strategi</t>
  </si>
  <si>
    <t>I ALT:</t>
  </si>
  <si>
    <t>Mål</t>
  </si>
  <si>
    <t>9329 Aktiv for en dag</t>
  </si>
  <si>
    <t>9323 Netværk</t>
  </si>
  <si>
    <t>9322 Samråd</t>
  </si>
  <si>
    <t>9321 Afdelinger</t>
  </si>
  <si>
    <t>93195 Samarbejde sekr-aktive</t>
  </si>
  <si>
    <t>9314 Intern kommunikation</t>
  </si>
  <si>
    <t>9284 Affald</t>
  </si>
  <si>
    <t>92841 Affaldsfilm</t>
  </si>
  <si>
    <t>92833 Klimakaravanen rollespil</t>
  </si>
  <si>
    <t>92832 Klimakaravanen evaluering</t>
  </si>
  <si>
    <t>92811 Min fantastiske hule</t>
  </si>
  <si>
    <t>92741 Fredningsskilte</t>
  </si>
  <si>
    <t>9232 Væk med sprøjten</t>
  </si>
  <si>
    <t>9287 Støtte til natur og ungdom</t>
  </si>
  <si>
    <t>Udgifter kr.</t>
  </si>
  <si>
    <t>Indtægter kr.</t>
  </si>
  <si>
    <t>Netto kr.</t>
  </si>
  <si>
    <t>Hele tus.</t>
  </si>
  <si>
    <t>Estimat</t>
  </si>
  <si>
    <t>9233 Landbrugjord til varig natur</t>
  </si>
  <si>
    <t>92831 Klimakaravanen debatmagasin</t>
  </si>
  <si>
    <t>9286 365 Naturoplevelser</t>
  </si>
  <si>
    <t>8. BUDGETRESERVATION</t>
  </si>
  <si>
    <t>BUDGET 09</t>
  </si>
  <si>
    <t>faktisk forbrug</t>
  </si>
  <si>
    <t>Reelt 1.-3.kvt.</t>
  </si>
  <si>
    <t>budget u løn</t>
  </si>
  <si>
    <t>Budget 1.-3.kvt</t>
  </si>
  <si>
    <t>Reelt 1.-3. kvt.</t>
  </si>
  <si>
    <t>Budget kontra realiseret for 1.- 3. kvartal 2009 og estimat for resten af 2009</t>
  </si>
  <si>
    <t>Indtægter 30.09.09</t>
  </si>
  <si>
    <t>bj 35300..38000+33659</t>
  </si>
  <si>
    <t>A</t>
  </si>
  <si>
    <t>A+løn</t>
  </si>
  <si>
    <t>ok</t>
  </si>
  <si>
    <t>Budg. 1.-3.kvt</t>
  </si>
  <si>
    <t>Budg.1.-3.kvt</t>
  </si>
  <si>
    <t>Reelt 1.-3.kvt år</t>
  </si>
  <si>
    <t>Budg 1.-3.kvt.</t>
  </si>
  <si>
    <t xml:space="preserve">1011 Fredning </t>
  </si>
  <si>
    <t>1012 Klagesager</t>
  </si>
  <si>
    <t>1012 Upload af klage/primr.afg.</t>
  </si>
  <si>
    <t>1012 Klagesager på dn.dk</t>
  </si>
  <si>
    <t>Budget 10</t>
  </si>
  <si>
    <t>BUDGET 10</t>
  </si>
  <si>
    <t>10121 Naturbeskyttelsesloven</t>
  </si>
  <si>
    <t>10122 Planloven landzone</t>
  </si>
  <si>
    <t>10123 Planloven Retlige mgl.</t>
  </si>
  <si>
    <t>10124 Vandløbsloven</t>
  </si>
  <si>
    <t>10125 Skovloven</t>
  </si>
  <si>
    <t>10126 Råstofloven</t>
  </si>
  <si>
    <t>10127 Miljøbeskyttelsesloven</t>
  </si>
  <si>
    <t>10128 Husdyrbrugloven</t>
  </si>
  <si>
    <t>10129 Havmiljøloven</t>
  </si>
  <si>
    <t>101210 Vandforsyningsloven</t>
  </si>
  <si>
    <t>101211 Andre love</t>
  </si>
  <si>
    <t xml:space="preserve">1013 Plansager </t>
  </si>
  <si>
    <t>1013 Upload plan-primørafgør.</t>
  </si>
  <si>
    <t>1013 Plansager på dn.dk</t>
  </si>
  <si>
    <t>10131 Kommuneplaner &amp; lokalplaner</t>
  </si>
  <si>
    <t>10132 anlægsprojekter</t>
  </si>
  <si>
    <t>10133 Vandplaner</t>
  </si>
  <si>
    <t>10134 Naturplaner</t>
  </si>
  <si>
    <t>10135 Nationalparker</t>
  </si>
  <si>
    <t>10136 Natur- og klimakort</t>
  </si>
  <si>
    <t>1021 Natur, vand og landskab</t>
  </si>
  <si>
    <t>10211 Drift</t>
  </si>
  <si>
    <t>10212 Kram et træ</t>
  </si>
  <si>
    <t>10213 Biologisk mangfoldighed</t>
  </si>
  <si>
    <t>10214 Havet omkring Danmark</t>
  </si>
  <si>
    <t>10215 Vilde dyr</t>
  </si>
  <si>
    <t>10216 Bedre love for naturen</t>
  </si>
  <si>
    <t>10217 Giv naturen en hånd</t>
  </si>
  <si>
    <t xml:space="preserve">1022 Landbrug </t>
  </si>
  <si>
    <t>10221 Drift</t>
  </si>
  <si>
    <t>10222 Sandheden om dansk landbrug</t>
  </si>
  <si>
    <t xml:space="preserve">1023 Klima, energi, transport </t>
  </si>
  <si>
    <t>10231 Drift</t>
  </si>
  <si>
    <t>10232 Drift Klimakommuner</t>
  </si>
  <si>
    <t>10236 Roskildefestival og DN</t>
  </si>
  <si>
    <t>1024 Produktion og forbrug</t>
  </si>
  <si>
    <t>10241 Drift</t>
  </si>
  <si>
    <t>10242 DN-stategi for grønt forbrug</t>
  </si>
  <si>
    <t>10243 Affaldsindsamling</t>
  </si>
  <si>
    <t>10244 Økologisk produktion og forbrug</t>
  </si>
  <si>
    <t>10245 Økoligi i detailhandlen</t>
  </si>
  <si>
    <t>10246 Grøn sommer</t>
  </si>
  <si>
    <t xml:space="preserve">1025 Natur og miljøforvaltning </t>
  </si>
  <si>
    <t>10251 Drift</t>
  </si>
  <si>
    <t xml:space="preserve">1026 Naturoplevelser </t>
  </si>
  <si>
    <t>10261 Drift</t>
  </si>
  <si>
    <t>10263 Fredede områder</t>
  </si>
  <si>
    <t>10264 Naturens dag</t>
  </si>
  <si>
    <t>10262 Naturvejleder</t>
  </si>
  <si>
    <t xml:space="preserve">10927 Børn og unge </t>
  </si>
  <si>
    <t>10271 Drift og udvikling</t>
  </si>
  <si>
    <t>10272 Naturoplevelser</t>
  </si>
  <si>
    <t>10273 Vandtjek</t>
  </si>
  <si>
    <t>10274 Affaldsindsamling for istitutioner</t>
  </si>
  <si>
    <t>10281 Drift</t>
  </si>
  <si>
    <t>10282 100 års fødselsdag</t>
  </si>
  <si>
    <t>10283 Danmarks Naturfond og Skovsgaard</t>
  </si>
  <si>
    <t>10284 Natur i byen</t>
  </si>
  <si>
    <t>1031 Org. vejledning og service</t>
  </si>
  <si>
    <t>10311 Naturens universitet</t>
  </si>
  <si>
    <t>10312 DN nettet</t>
  </si>
  <si>
    <t>10313 Organisatorisk rådgivning</t>
  </si>
  <si>
    <t>10314 Lokale projekter, Projektpuljen</t>
  </si>
  <si>
    <t>10315 Lokal økonomistyring</t>
  </si>
  <si>
    <t>10316 Årsmøder og databaseopd.</t>
  </si>
  <si>
    <t>10317 Nye vedtægter og forretningsord.</t>
  </si>
  <si>
    <t>10318 E-learning Naturens universitet</t>
  </si>
  <si>
    <t>10319 E mail adresser</t>
  </si>
  <si>
    <t>10321 Afdelinger</t>
  </si>
  <si>
    <t>10322 Samråd</t>
  </si>
  <si>
    <t>10323 Netværk</t>
  </si>
  <si>
    <t>10324 Studenterkomiteer</t>
  </si>
  <si>
    <t>10325 Repræsentantskab</t>
  </si>
  <si>
    <t>10326 Forretningsudvalg</t>
  </si>
  <si>
    <t>10327 Præsident</t>
  </si>
  <si>
    <t>10328 Faglige udvalg</t>
  </si>
  <si>
    <t>10329 Aktiv for en dag</t>
  </si>
  <si>
    <t xml:space="preserve">1041 Kommunikationsstyring </t>
  </si>
  <si>
    <t xml:space="preserve">1042 Pressekontakt </t>
  </si>
  <si>
    <t xml:space="preserve">1043 Hjemmeside e-komm </t>
  </si>
  <si>
    <t xml:space="preserve">1044 Medlemsblad </t>
  </si>
  <si>
    <t xml:space="preserve">1045 Kommunikationsstøtte til afd </t>
  </si>
  <si>
    <t>1046 Intern kommunikation</t>
  </si>
  <si>
    <t xml:space="preserve">1051 Medlemsadministration </t>
  </si>
  <si>
    <t xml:space="preserve">1052 Medlemstegning </t>
  </si>
  <si>
    <t xml:space="preserve">1053 Fundraising </t>
  </si>
  <si>
    <t xml:space="preserve">1054 Varesalg </t>
  </si>
  <si>
    <t xml:space="preserve">1061 Ledelse </t>
  </si>
  <si>
    <t xml:space="preserve">1062 Personale </t>
  </si>
  <si>
    <t>1063 Sekretariatsfunktioner</t>
  </si>
  <si>
    <t xml:space="preserve">1064 Husfunktioner </t>
  </si>
  <si>
    <t xml:space="preserve">1065 Økonomi </t>
  </si>
  <si>
    <t xml:space="preserve">1066 IT </t>
  </si>
  <si>
    <t>1071 Finansiering</t>
  </si>
  <si>
    <t xml:space="preserve">1028 Diverse nationalt </t>
  </si>
  <si>
    <t>Budg. 3.kvt</t>
  </si>
  <si>
    <t>Budg 3.kvt.</t>
  </si>
  <si>
    <t xml:space="preserve">1032 Organisatoriske enheder </t>
  </si>
  <si>
    <t>Budget kontra realiseret pr. 31.december 2010</t>
  </si>
  <si>
    <t>Indtægter 31.12.10</t>
  </si>
  <si>
    <t>Budg. 3kvt.</t>
  </si>
  <si>
    <t xml:space="preserve">Reelt </t>
  </si>
  <si>
    <t>Reelt</t>
  </si>
  <si>
    <t xml:space="preserve">Budget kontra realiseret pr. 31.december 2010 </t>
  </si>
  <si>
    <t>Reelt 2. kvt</t>
  </si>
  <si>
    <t>Budg.2.kvt.</t>
  </si>
  <si>
    <t>Reelt 2. kvt.</t>
  </si>
  <si>
    <t>Budg. 2.kvt</t>
  </si>
  <si>
    <t xml:space="preserve">Reelt 2.kvt </t>
  </si>
  <si>
    <t>Budg 2.kvt.</t>
  </si>
  <si>
    <t>Reelt 3. kvt</t>
  </si>
  <si>
    <t>Budg.3.kvt.</t>
  </si>
  <si>
    <t>Reelt 3. kvt.</t>
  </si>
  <si>
    <t xml:space="preserve">Reelt 3.kvt </t>
  </si>
  <si>
    <t xml:space="preserve">1211 Fredning </t>
  </si>
  <si>
    <t>12111Drift af fredningssager</t>
  </si>
  <si>
    <t>12112 Drift af fredning.dk</t>
  </si>
  <si>
    <t>12113 Fredningstjek</t>
  </si>
  <si>
    <t xml:space="preserve">12121 Kommuneplaner og lokalplaner </t>
  </si>
  <si>
    <t>12122 Anlægsprojekter</t>
  </si>
  <si>
    <t xml:space="preserve">1213 Naturbeskyttelsessager </t>
  </si>
  <si>
    <t>1214 Husdyrsager</t>
  </si>
  <si>
    <t>1215 Miljøgodkendelsessager</t>
  </si>
  <si>
    <t>1216 Landzonesager</t>
  </si>
  <si>
    <t>1217 Skovsager</t>
  </si>
  <si>
    <t>1218 Diverse lokale sager</t>
  </si>
  <si>
    <t>1219 Dok. af lokaler sager</t>
  </si>
  <si>
    <t xml:space="preserve">    12110 Vand- og naturplaner</t>
  </si>
  <si>
    <t xml:space="preserve">    12111 Nationalparker</t>
  </si>
  <si>
    <t>12211 Lobby mv.</t>
  </si>
  <si>
    <t xml:space="preserve">1212 Plansager </t>
  </si>
  <si>
    <t>1221 Natur, vand og landskab</t>
  </si>
  <si>
    <t xml:space="preserve">1222 Landbrug </t>
  </si>
  <si>
    <t>12221 Lobby mv.</t>
  </si>
  <si>
    <t>12222 Jord ud af omdrift</t>
  </si>
  <si>
    <t>12223 Økologisk kommune, Lejre</t>
  </si>
  <si>
    <t>12224 Alle har ret til en rig natur</t>
  </si>
  <si>
    <t xml:space="preserve">1223 Klima, energi, transport </t>
  </si>
  <si>
    <t>12231 Lobby mv</t>
  </si>
  <si>
    <t>12232 Klimakommuner</t>
  </si>
  <si>
    <t>1224 Produktion og forbrug</t>
  </si>
  <si>
    <t>12241 Lobby</t>
  </si>
  <si>
    <t>12242 Affaldsindsamling</t>
  </si>
  <si>
    <t xml:space="preserve">1225 Natur og miljøforvaltning </t>
  </si>
  <si>
    <t>12251 Lobby mv.</t>
  </si>
  <si>
    <t>1226 Naturoplevelser  og adgang</t>
  </si>
  <si>
    <t>12261 Lobby mv.</t>
  </si>
  <si>
    <t>12262 Naturvejleder</t>
  </si>
  <si>
    <t>12263 Naturens dag</t>
  </si>
  <si>
    <t>12264 Kystvandring</t>
  </si>
  <si>
    <t xml:space="preserve">1227 Børn og unge </t>
  </si>
  <si>
    <t>12271 DN Børn og børnefamilier</t>
  </si>
  <si>
    <t>12272 Naturkatapulten</t>
  </si>
  <si>
    <t>12273 Vandtjek</t>
  </si>
  <si>
    <t>12274 Affaldsindsamling, institutioner</t>
  </si>
  <si>
    <t>12275 Naturens dag, institutioner</t>
  </si>
  <si>
    <t>12276 Kanon natur</t>
  </si>
  <si>
    <t>12277 Økologiske skolehaver</t>
  </si>
  <si>
    <t>12278 Naturbedste</t>
  </si>
  <si>
    <t xml:space="preserve">1228 Diverse nationalt </t>
  </si>
  <si>
    <t>12281 Lobby mv.</t>
  </si>
  <si>
    <t>12282 DN, Folkemøde på Bornholm</t>
  </si>
  <si>
    <t>12283 Danmarks Naturfond/Skovsgaard</t>
  </si>
  <si>
    <t>12284 Danmarks Naturfond/Allindelille Fr.sk</t>
  </si>
  <si>
    <t>1231 ORGANISATION</t>
  </si>
  <si>
    <t>12311 Organisationsdrift</t>
  </si>
  <si>
    <t>12312 Intern kommunikation</t>
  </si>
  <si>
    <t>12313 Kommunikationsstøtte til afd.</t>
  </si>
  <si>
    <t>12314 Naturens universitet</t>
  </si>
  <si>
    <t>12315 Nye lokale aktive 2012-13</t>
  </si>
  <si>
    <t>12316 Ny organisations It</t>
  </si>
  <si>
    <t>12317 Natur og miljø for byboere</t>
  </si>
  <si>
    <t xml:space="preserve">1232 Organisatoriske enheder </t>
  </si>
  <si>
    <t>12321 Afdelinger</t>
  </si>
  <si>
    <t>12322 Samråd</t>
  </si>
  <si>
    <t>12323 Netværk</t>
  </si>
  <si>
    <t>12324 Studenterafdelinger</t>
  </si>
  <si>
    <t>12326 Forretningsudvalg</t>
  </si>
  <si>
    <t>12327 Præsident</t>
  </si>
  <si>
    <t>1231 Org. vejledning og service</t>
  </si>
  <si>
    <t>12328 Faglige udvalg</t>
  </si>
  <si>
    <t xml:space="preserve">1241 Kommunikationsstyring </t>
  </si>
  <si>
    <t>1242 Pressekontakt og nyheder</t>
  </si>
  <si>
    <t xml:space="preserve">1244 Medlemsblad </t>
  </si>
  <si>
    <t xml:space="preserve">1251 Medlemsadministration </t>
  </si>
  <si>
    <t>12512 Mailadresser 2012-13</t>
  </si>
  <si>
    <t>1252 Medlemstegning</t>
  </si>
  <si>
    <t>1243 Hjemmesider og e-komm.</t>
  </si>
  <si>
    <t>1253 Fundraising</t>
  </si>
  <si>
    <t>1254 Fordelsklub</t>
  </si>
  <si>
    <t xml:space="preserve">1261 Ledelse </t>
  </si>
  <si>
    <t xml:space="preserve">1262 Personale </t>
  </si>
  <si>
    <t>1263 Sekretariatsfunktioner</t>
  </si>
  <si>
    <t xml:space="preserve">1264 Husfunktioner </t>
  </si>
  <si>
    <t xml:space="preserve">1265 Økonomi </t>
  </si>
  <si>
    <t xml:space="preserve">1266 IT </t>
  </si>
  <si>
    <t>1271 Finansiering</t>
  </si>
  <si>
    <t>BUDGET 12</t>
  </si>
  <si>
    <t>Budget 12</t>
  </si>
  <si>
    <t>12213 Biologisk mangfoldighed</t>
  </si>
  <si>
    <t>12212 DN i naturen</t>
  </si>
  <si>
    <t>12214 Havet omkring Danmark</t>
  </si>
  <si>
    <t>12325 Repræsentantskab (incl. AP &amp; LDT)</t>
  </si>
  <si>
    <t>Budget kontra realiseret pr. 30. juni 2012</t>
  </si>
  <si>
    <t>Indtægter 30.06.12</t>
  </si>
  <si>
    <t>Lønudgift 30.06.12</t>
  </si>
  <si>
    <t>12215 Fremtidens natur i DK</t>
  </si>
  <si>
    <t>Budget kontra realiseret pr. 30. september 2012</t>
  </si>
  <si>
    <t>Indtægter 30.09.12</t>
  </si>
  <si>
    <t>Lønudgift 30.09.12</t>
  </si>
  <si>
    <t>8. LOKALE PROJEKTER EXTERNT FINANSIERET</t>
  </si>
  <si>
    <t>13215 Prj din grønne nabo udgår</t>
  </si>
  <si>
    <t>budget løn</t>
  </si>
  <si>
    <t>15294 Børnemedlemskab</t>
  </si>
  <si>
    <t>9. TILLÆGSBUDGET BESLUTTET AF HB</t>
  </si>
  <si>
    <t xml:space="preserve">   152102 **Folketingsvalg 2015, kandidattest, besluttet 13/11-14</t>
  </si>
  <si>
    <t>Estimat 16</t>
  </si>
  <si>
    <t>Budget 16</t>
  </si>
  <si>
    <t>BUDGET 16</t>
  </si>
  <si>
    <t>16112 Fredningstjek</t>
  </si>
  <si>
    <t>1612 Plansager</t>
  </si>
  <si>
    <t>1613 Natur- og miljøsager</t>
  </si>
  <si>
    <t>1614 Vand- og naturplaner</t>
  </si>
  <si>
    <t>1615 Nationalparker</t>
  </si>
  <si>
    <t>16151 Natur nationalpark</t>
  </si>
  <si>
    <t>1621 Natur, vand og landskab</t>
  </si>
  <si>
    <t>16211 Lobby mv.</t>
  </si>
  <si>
    <t>16212 Biodiversitet.nu</t>
  </si>
  <si>
    <t>1622 Grund- og drikkevand</t>
  </si>
  <si>
    <t>16221 Lobby mv.</t>
  </si>
  <si>
    <t>16222 Giftfri have</t>
  </si>
  <si>
    <t>16231 Lobby mv</t>
  </si>
  <si>
    <t>1623 Landbrug</t>
  </si>
  <si>
    <t>1624 Klima, energi, transport</t>
  </si>
  <si>
    <t>16241 Lobby</t>
  </si>
  <si>
    <t>1625 Produktion og forbrug</t>
  </si>
  <si>
    <t>16251 Lobby mv.</t>
  </si>
  <si>
    <t>16252 Grønt folkemøde</t>
  </si>
  <si>
    <t>1626 Natur- og miljøpolitik i EU</t>
  </si>
  <si>
    <t>16261 Lobby mv.</t>
  </si>
  <si>
    <t>16271 Lobby mv.</t>
  </si>
  <si>
    <t>1627 Naturoplev. adg. til naturen</t>
  </si>
  <si>
    <t>16272 Naturvejled. på Skovsgaard</t>
  </si>
  <si>
    <t>16274 Naturens dag - søndag</t>
  </si>
  <si>
    <t>16275 Danmarks Naturfond</t>
  </si>
  <si>
    <t>1628 Giv naturen en hånd</t>
  </si>
  <si>
    <t>16281 Lokale natureplejeaktiviteter</t>
  </si>
  <si>
    <t>16282 Evighedstræer</t>
  </si>
  <si>
    <t>16283 Vilde dyr</t>
  </si>
  <si>
    <t>16284 Affaldsindsamling</t>
  </si>
  <si>
    <t>16291 Skoler og instutioner</t>
  </si>
  <si>
    <t>16292 Naturens dag, skoler og institu.</t>
  </si>
  <si>
    <t>16294 Projekt nyt børnetilbud</t>
  </si>
  <si>
    <t>16210 Tværpolitiske indsatser</t>
  </si>
  <si>
    <t>162101 DN til folkemøde, Bornholm</t>
  </si>
  <si>
    <t>16211 DN i byen*</t>
  </si>
  <si>
    <t>162111 Projekt DN i byen</t>
  </si>
  <si>
    <t>1631 Org. vejledn. udvikl. &amp; støtte</t>
  </si>
  <si>
    <t>16311 Organisationsdrift</t>
  </si>
  <si>
    <t>16312 Kommunikationsstøtte til afd.</t>
  </si>
  <si>
    <t>16313 Naturens universitet</t>
  </si>
  <si>
    <t xml:space="preserve">1632 Organisatoriske enheder </t>
  </si>
  <si>
    <t>16321 Afdelinger</t>
  </si>
  <si>
    <t>16322 Samråd</t>
  </si>
  <si>
    <t>16323 Netværk</t>
  </si>
  <si>
    <t>16324 Studenterafdelinger</t>
  </si>
  <si>
    <t>16325 Repræsentantskab (incl AP, LDT)</t>
  </si>
  <si>
    <t>16326 Hovedbestyrelse</t>
  </si>
  <si>
    <t>16327 Præsident</t>
  </si>
  <si>
    <t>16328 Faglige udvalg</t>
  </si>
  <si>
    <t>1641 Kommunikationsstyring, støtte</t>
  </si>
  <si>
    <t>1642 Pressekontakt, nyheder</t>
  </si>
  <si>
    <t>1643 E-kommunikation</t>
  </si>
  <si>
    <t>16431 DN´s hjemmeside</t>
  </si>
  <si>
    <t>16432 DN på socilale medier</t>
  </si>
  <si>
    <t>16433 DN´s (nationale) nyhedsbreve</t>
  </si>
  <si>
    <t>1644 Medlemsblad</t>
  </si>
  <si>
    <t xml:space="preserve">1651 Medlemsadministration </t>
  </si>
  <si>
    <t>1652 Medlemstegning</t>
  </si>
  <si>
    <t>16521 Tegning af nye medl.</t>
  </si>
  <si>
    <t>16522 Projekt nye hverveformer 2014-16</t>
  </si>
  <si>
    <t>16293 Affaldsindsaml., skoler og institu.</t>
  </si>
  <si>
    <t>1653 Fundraising</t>
  </si>
  <si>
    <t>1654 DN grøn fordel</t>
  </si>
  <si>
    <t xml:space="preserve">1661 Ledelse </t>
  </si>
  <si>
    <t xml:space="preserve">1662 Personale </t>
  </si>
  <si>
    <t>1663 Sekretariatsfunktioner</t>
  </si>
  <si>
    <t xml:space="preserve">1664 Husfunktioner </t>
  </si>
  <si>
    <t xml:space="preserve">1665 Økonomi </t>
  </si>
  <si>
    <t>16273 Lokale ture og arrangementer</t>
  </si>
  <si>
    <t xml:space="preserve">1666 IT </t>
  </si>
  <si>
    <t>16312 Lokale projekter ext. finans.</t>
  </si>
  <si>
    <t>1629 Børn og unge</t>
  </si>
  <si>
    <t>1611 Fredningssager*</t>
  </si>
  <si>
    <t>Oprindeligt budget</t>
  </si>
  <si>
    <t>I ALT incl. tillægsbudget</t>
  </si>
  <si>
    <t>*Ekstra freder, HB beslut. 29/1-16</t>
  </si>
  <si>
    <t>SPECIFIKATION:</t>
  </si>
  <si>
    <t>1671 Finansiering</t>
  </si>
  <si>
    <t>Indtægter 30-06-16</t>
  </si>
  <si>
    <t>Lønudgift 30.06.16</t>
  </si>
  <si>
    <t>Budget kontra realiseret  2. kvartal 2016</t>
  </si>
  <si>
    <t>BILAG 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</si>
</sst>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#,##0.0_);\(#,##0.0\)"/>
    <numFmt numFmtId="168" formatCode="#,##0.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b/>
      <i/>
      <sz val="7"/>
      <name val="Verdana"/>
      <family val="2"/>
    </font>
    <font>
      <b/>
      <sz val="8"/>
      <color indexed="9"/>
      <name val="Verdana"/>
      <family val="2"/>
    </font>
    <font>
      <i/>
      <sz val="7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sz val="8"/>
      <color rgb="FFFF0000"/>
      <name val="Verdana"/>
      <family val="2"/>
    </font>
    <font>
      <sz val="6"/>
      <name val="Arial"/>
      <family val="2"/>
    </font>
    <font>
      <sz val="5"/>
      <name val="Verdana"/>
      <family val="2"/>
    </font>
    <font>
      <b/>
      <sz val="7"/>
      <color rgb="FFFF0000"/>
      <name val="Verdana"/>
      <family val="2"/>
    </font>
    <font>
      <sz val="7"/>
      <color theme="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9">
    <xf numFmtId="0" fontId="0" fillId="0" borderId="0" xfId="0"/>
    <xf numFmtId="3" fontId="5" fillId="0" borderId="1" xfId="0" applyNumberFormat="1" applyFont="1" applyBorder="1"/>
    <xf numFmtId="0" fontId="4" fillId="0" borderId="0" xfId="0" applyFont="1"/>
    <xf numFmtId="3" fontId="3" fillId="0" borderId="1" xfId="0" applyNumberFormat="1" applyFont="1" applyBorder="1"/>
    <xf numFmtId="0" fontId="6" fillId="0" borderId="0" xfId="0" applyFont="1"/>
    <xf numFmtId="0" fontId="5" fillId="0" borderId="0" xfId="0" applyFont="1"/>
    <xf numFmtId="3" fontId="4" fillId="0" borderId="0" xfId="0" applyNumberFormat="1" applyFont="1"/>
    <xf numFmtId="3" fontId="6" fillId="0" borderId="1" xfId="0" applyNumberFormat="1" applyFont="1" applyBorder="1"/>
    <xf numFmtId="0" fontId="3" fillId="0" borderId="0" xfId="0" applyFont="1"/>
    <xf numFmtId="3" fontId="3" fillId="0" borderId="1" xfId="0" applyNumberFormat="1" applyFont="1" applyFill="1" applyBorder="1"/>
    <xf numFmtId="3" fontId="5" fillId="2" borderId="1" xfId="1" applyNumberFormat="1" applyFont="1" applyFill="1" applyBorder="1"/>
    <xf numFmtId="0" fontId="4" fillId="2" borderId="0" xfId="0" applyFont="1" applyFill="1"/>
    <xf numFmtId="0" fontId="5" fillId="2" borderId="0" xfId="0" applyFont="1" applyFill="1"/>
    <xf numFmtId="0" fontId="4" fillId="0" borderId="0" xfId="0" applyFont="1" applyFill="1"/>
    <xf numFmtId="0" fontId="6" fillId="0" borderId="0" xfId="0" applyFont="1" applyFill="1"/>
    <xf numFmtId="0" fontId="10" fillId="2" borderId="0" xfId="0" applyFont="1" applyFill="1"/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/>
    <xf numFmtId="3" fontId="6" fillId="0" borderId="1" xfId="0" applyNumberFormat="1" applyFont="1" applyFill="1" applyBorder="1"/>
    <xf numFmtId="3" fontId="4" fillId="0" borderId="0" xfId="0" applyNumberFormat="1" applyFont="1" applyFill="1"/>
    <xf numFmtId="3" fontId="4" fillId="0" borderId="1" xfId="0" applyNumberFormat="1" applyFont="1" applyFill="1" applyBorder="1"/>
    <xf numFmtId="3" fontId="5" fillId="0" borderId="0" xfId="0" applyNumberFormat="1" applyFont="1" applyFill="1"/>
    <xf numFmtId="3" fontId="3" fillId="2" borderId="1" xfId="0" applyNumberFormat="1" applyFont="1" applyFill="1" applyBorder="1"/>
    <xf numFmtId="3" fontId="3" fillId="2" borderId="1" xfId="1" applyNumberFormat="1" applyFont="1" applyFill="1" applyBorder="1"/>
    <xf numFmtId="3" fontId="3" fillId="0" borderId="0" xfId="1" applyNumberFormat="1" applyFont="1" applyFill="1"/>
    <xf numFmtId="3" fontId="3" fillId="0" borderId="0" xfId="1" applyNumberFormat="1" applyFont="1"/>
    <xf numFmtId="164" fontId="5" fillId="2" borderId="0" xfId="1" applyFont="1" applyFill="1"/>
    <xf numFmtId="0" fontId="6" fillId="2" borderId="0" xfId="0" applyFont="1" applyFill="1"/>
    <xf numFmtId="3" fontId="12" fillId="0" borderId="1" xfId="0" applyNumberFormat="1" applyFont="1" applyBorder="1"/>
    <xf numFmtId="3" fontId="12" fillId="0" borderId="1" xfId="0" applyNumberFormat="1" applyFont="1" applyFill="1" applyBorder="1"/>
    <xf numFmtId="3" fontId="12" fillId="0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/>
    <xf numFmtId="3" fontId="3" fillId="3" borderId="0" xfId="0" applyNumberFormat="1" applyFont="1" applyFill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/>
    <xf numFmtId="3" fontId="3" fillId="3" borderId="0" xfId="0" applyNumberFormat="1" applyFont="1" applyFill="1"/>
    <xf numFmtId="3" fontId="6" fillId="3" borderId="0" xfId="0" applyNumberFormat="1" applyFont="1" applyFill="1"/>
    <xf numFmtId="0" fontId="4" fillId="3" borderId="0" xfId="0" applyFont="1" applyFill="1"/>
    <xf numFmtId="3" fontId="12" fillId="3" borderId="1" xfId="0" applyNumberFormat="1" applyFont="1" applyFill="1" applyBorder="1" applyAlignment="1">
      <alignment horizontal="center"/>
    </xf>
    <xf numFmtId="3" fontId="3" fillId="3" borderId="1" xfId="1" applyNumberFormat="1" applyFont="1" applyFill="1" applyBorder="1"/>
    <xf numFmtId="0" fontId="5" fillId="3" borderId="0" xfId="0" applyFont="1" applyFill="1"/>
    <xf numFmtId="3" fontId="6" fillId="3" borderId="1" xfId="1" applyNumberFormat="1" applyFont="1" applyFill="1" applyBorder="1"/>
    <xf numFmtId="3" fontId="12" fillId="3" borderId="1" xfId="0" applyNumberFormat="1" applyFont="1" applyFill="1" applyBorder="1"/>
    <xf numFmtId="3" fontId="5" fillId="3" borderId="0" xfId="1" applyNumberFormat="1" applyFont="1" applyFill="1" applyBorder="1"/>
    <xf numFmtId="3" fontId="4" fillId="3" borderId="0" xfId="0" applyNumberFormat="1" applyFont="1" applyFill="1" applyBorder="1"/>
    <xf numFmtId="3" fontId="4" fillId="3" borderId="0" xfId="0" applyNumberFormat="1" applyFont="1" applyFill="1"/>
    <xf numFmtId="3" fontId="4" fillId="3" borderId="1" xfId="0" applyNumberFormat="1" applyFont="1" applyFill="1" applyBorder="1"/>
    <xf numFmtId="165" fontId="3" fillId="4" borderId="1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7" fontId="3" fillId="4" borderId="1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8" fontId="3" fillId="4" borderId="1" xfId="1" applyNumberFormat="1" applyFont="1" applyFill="1" applyBorder="1" applyAlignment="1">
      <alignment horizontal="center"/>
    </xf>
    <xf numFmtId="165" fontId="4" fillId="4" borderId="0" xfId="0" applyNumberFormat="1" applyFont="1" applyFill="1" applyAlignment="1">
      <alignment horizontal="center"/>
    </xf>
    <xf numFmtId="164" fontId="4" fillId="4" borderId="0" xfId="1" applyFont="1" applyFill="1" applyAlignment="1">
      <alignment horizontal="center"/>
    </xf>
    <xf numFmtId="0" fontId="11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2"/>
    </xf>
    <xf numFmtId="0" fontId="12" fillId="4" borderId="1" xfId="0" applyFont="1" applyFill="1" applyBorder="1"/>
    <xf numFmtId="0" fontId="9" fillId="4" borderId="1" xfId="0" applyFont="1" applyFill="1" applyBorder="1" applyAlignment="1">
      <alignment horizontal="left" indent="1"/>
    </xf>
    <xf numFmtId="0" fontId="6" fillId="4" borderId="1" xfId="0" applyFont="1" applyFill="1" applyBorder="1" applyAlignment="1">
      <alignment horizontal="left" inden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 indent="1"/>
    </xf>
    <xf numFmtId="164" fontId="12" fillId="4" borderId="1" xfId="1" applyFont="1" applyFill="1" applyBorder="1"/>
    <xf numFmtId="0" fontId="12" fillId="4" borderId="1" xfId="0" applyFont="1" applyFill="1" applyBorder="1" applyAlignment="1">
      <alignment horizontal="left"/>
    </xf>
    <xf numFmtId="0" fontId="3" fillId="4" borderId="3" xfId="0" applyFont="1" applyFill="1" applyBorder="1"/>
    <xf numFmtId="0" fontId="5" fillId="4" borderId="0" xfId="0" applyFont="1" applyFill="1" applyBorder="1"/>
    <xf numFmtId="0" fontId="4" fillId="4" borderId="0" xfId="0" applyFont="1" applyFill="1"/>
    <xf numFmtId="3" fontId="4" fillId="4" borderId="0" xfId="0" applyNumberFormat="1" applyFont="1" applyFill="1"/>
    <xf numFmtId="2" fontId="3" fillId="4" borderId="2" xfId="0" applyNumberFormat="1" applyFont="1" applyFill="1" applyBorder="1" applyAlignment="1">
      <alignment horizontal="center"/>
    </xf>
    <xf numFmtId="3" fontId="12" fillId="4" borderId="1" xfId="0" applyNumberFormat="1" applyFont="1" applyFill="1" applyBorder="1"/>
    <xf numFmtId="3" fontId="8" fillId="4" borderId="1" xfId="0" applyNumberFormat="1" applyFont="1" applyFill="1" applyBorder="1"/>
    <xf numFmtId="3" fontId="3" fillId="4" borderId="1" xfId="1" applyNumberFormat="1" applyFont="1" applyFill="1" applyBorder="1"/>
    <xf numFmtId="3" fontId="3" fillId="4" borderId="1" xfId="0" applyNumberFormat="1" applyFont="1" applyFill="1" applyBorder="1"/>
    <xf numFmtId="3" fontId="6" fillId="4" borderId="1" xfId="0" applyNumberFormat="1" applyFont="1" applyFill="1" applyBorder="1"/>
    <xf numFmtId="3" fontId="3" fillId="4" borderId="0" xfId="1" applyNumberFormat="1" applyFont="1" applyFill="1"/>
    <xf numFmtId="4" fontId="4" fillId="4" borderId="0" xfId="0" applyNumberFormat="1" applyFont="1" applyFill="1"/>
    <xf numFmtId="4" fontId="5" fillId="4" borderId="1" xfId="0" applyNumberFormat="1" applyFont="1" applyFill="1" applyBorder="1"/>
    <xf numFmtId="4" fontId="12" fillId="4" borderId="1" xfId="0" applyNumberFormat="1" applyFont="1" applyFill="1" applyBorder="1"/>
    <xf numFmtId="164" fontId="3" fillId="4" borderId="1" xfId="1" applyFont="1" applyFill="1" applyBorder="1"/>
    <xf numFmtId="4" fontId="3" fillId="4" borderId="1" xfId="0" applyNumberFormat="1" applyFont="1" applyFill="1" applyBorder="1"/>
    <xf numFmtId="4" fontId="6" fillId="4" borderId="1" xfId="0" applyNumberFormat="1" applyFont="1" applyFill="1" applyBorder="1"/>
    <xf numFmtId="164" fontId="5" fillId="4" borderId="1" xfId="1" applyFont="1" applyFill="1" applyBorder="1"/>
    <xf numFmtId="165" fontId="5" fillId="4" borderId="1" xfId="0" applyNumberFormat="1" applyFont="1" applyFill="1" applyBorder="1"/>
    <xf numFmtId="3" fontId="4" fillId="4" borderId="0" xfId="1" applyNumberFormat="1" applyFont="1" applyFill="1"/>
    <xf numFmtId="3" fontId="12" fillId="4" borderId="1" xfId="1" applyNumberFormat="1" applyFont="1" applyFill="1" applyBorder="1"/>
    <xf numFmtId="3" fontId="8" fillId="4" borderId="1" xfId="1" applyNumberFormat="1" applyFont="1" applyFill="1" applyBorder="1"/>
    <xf numFmtId="3" fontId="6" fillId="4" borderId="1" xfId="1" applyNumberFormat="1" applyFont="1" applyFill="1" applyBorder="1"/>
    <xf numFmtId="165" fontId="4" fillId="4" borderId="0" xfId="0" applyNumberFormat="1" applyFont="1" applyFill="1"/>
    <xf numFmtId="165" fontId="8" fillId="4" borderId="1" xfId="0" applyNumberFormat="1" applyFont="1" applyFill="1" applyBorder="1"/>
    <xf numFmtId="37" fontId="3" fillId="4" borderId="1" xfId="1" applyNumberFormat="1" applyFont="1" applyFill="1" applyBorder="1"/>
    <xf numFmtId="37" fontId="6" fillId="4" borderId="1" xfId="1" applyNumberFormat="1" applyFont="1" applyFill="1" applyBorder="1"/>
    <xf numFmtId="164" fontId="4" fillId="4" borderId="0" xfId="1" applyFont="1" applyFill="1"/>
    <xf numFmtId="3" fontId="12" fillId="4" borderId="1" xfId="0" applyNumberFormat="1" applyFont="1" applyFill="1" applyBorder="1" applyAlignment="1">
      <alignment horizontal="center"/>
    </xf>
    <xf numFmtId="3" fontId="5" fillId="4" borderId="1" xfId="1" applyNumberFormat="1" applyFont="1" applyFill="1" applyBorder="1"/>
    <xf numFmtId="3" fontId="3" fillId="4" borderId="2" xfId="1" applyNumberFormat="1" applyFont="1" applyFill="1" applyBorder="1"/>
    <xf numFmtId="3" fontId="4" fillId="5" borderId="0" xfId="0" applyNumberFormat="1" applyFont="1" applyFill="1"/>
    <xf numFmtId="3" fontId="12" fillId="5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/>
    <xf numFmtId="3" fontId="3" fillId="5" borderId="1" xfId="1" applyNumberFormat="1" applyFont="1" applyFill="1" applyBorder="1"/>
    <xf numFmtId="3" fontId="6" fillId="5" borderId="1" xfId="1" applyNumberFormat="1" applyFont="1" applyFill="1" applyBorder="1"/>
    <xf numFmtId="3" fontId="5" fillId="5" borderId="1" xfId="0" applyNumberFormat="1" applyFont="1" applyFill="1" applyBorder="1"/>
    <xf numFmtId="3" fontId="12" fillId="5" borderId="1" xfId="0" applyNumberFormat="1" applyFont="1" applyFill="1" applyBorder="1"/>
    <xf numFmtId="3" fontId="4" fillId="5" borderId="1" xfId="0" applyNumberFormat="1" applyFont="1" applyFill="1" applyBorder="1"/>
    <xf numFmtId="3" fontId="3" fillId="5" borderId="1" xfId="0" applyNumberFormat="1" applyFont="1" applyFill="1" applyBorder="1"/>
    <xf numFmtId="3" fontId="5" fillId="5" borderId="1" xfId="1" applyNumberFormat="1" applyFont="1" applyFill="1" applyBorder="1"/>
    <xf numFmtId="3" fontId="3" fillId="5" borderId="3" xfId="1" applyNumberFormat="1" applyFont="1" applyFill="1" applyBorder="1"/>
    <xf numFmtId="4" fontId="3" fillId="4" borderId="2" xfId="0" applyNumberFormat="1" applyFont="1" applyFill="1" applyBorder="1"/>
    <xf numFmtId="3" fontId="3" fillId="5" borderId="2" xfId="1" applyNumberFormat="1" applyFont="1" applyFill="1" applyBorder="1"/>
    <xf numFmtId="3" fontId="3" fillId="0" borderId="4" xfId="1" applyNumberFormat="1" applyFont="1" applyBorder="1"/>
    <xf numFmtId="3" fontId="6" fillId="6" borderId="1" xfId="0" applyNumberFormat="1" applyFont="1" applyFill="1" applyBorder="1"/>
    <xf numFmtId="3" fontId="13" fillId="4" borderId="0" xfId="0" applyNumberFormat="1" applyFont="1" applyFill="1"/>
    <xf numFmtId="0" fontId="7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6" fillId="3" borderId="0" xfId="0" applyFont="1" applyFill="1"/>
    <xf numFmtId="0" fontId="3" fillId="3" borderId="0" xfId="0" applyFont="1" applyFill="1"/>
    <xf numFmtId="164" fontId="5" fillId="3" borderId="0" xfId="1" applyFont="1" applyFill="1"/>
    <xf numFmtId="165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/>
    <xf numFmtId="3" fontId="4" fillId="3" borderId="0" xfId="1" applyNumberFormat="1" applyFont="1" applyFill="1"/>
    <xf numFmtId="4" fontId="4" fillId="3" borderId="0" xfId="0" applyNumberFormat="1" applyFont="1" applyFill="1"/>
    <xf numFmtId="0" fontId="11" fillId="3" borderId="1" xfId="0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3" fontId="5" fillId="3" borderId="1" xfId="0" applyNumberFormat="1" applyFont="1" applyFill="1" applyBorder="1"/>
    <xf numFmtId="4" fontId="5" fillId="3" borderId="1" xfId="0" applyNumberFormat="1" applyFont="1" applyFill="1" applyBorder="1"/>
    <xf numFmtId="0" fontId="12" fillId="3" borderId="1" xfId="0" applyFont="1" applyFill="1" applyBorder="1" applyAlignment="1">
      <alignment horizontal="left" indent="1"/>
    </xf>
    <xf numFmtId="165" fontId="12" fillId="3" borderId="1" xfId="0" applyNumberFormat="1" applyFont="1" applyFill="1" applyBorder="1" applyAlignment="1">
      <alignment horizontal="center"/>
    </xf>
    <xf numFmtId="3" fontId="12" fillId="3" borderId="1" xfId="1" applyNumberFormat="1" applyFont="1" applyFill="1" applyBorder="1"/>
    <xf numFmtId="4" fontId="12" fillId="3" borderId="1" xfId="0" applyNumberFormat="1" applyFont="1" applyFill="1" applyBorder="1"/>
    <xf numFmtId="0" fontId="11" fillId="3" borderId="1" xfId="0" applyFont="1" applyFill="1" applyBorder="1" applyAlignment="1">
      <alignment horizontal="left" indent="2"/>
    </xf>
    <xf numFmtId="165" fontId="6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/>
    <xf numFmtId="3" fontId="8" fillId="3" borderId="1" xfId="1" applyNumberFormat="1" applyFont="1" applyFill="1" applyBorder="1"/>
    <xf numFmtId="3" fontId="8" fillId="3" borderId="1" xfId="0" applyNumberFormat="1" applyFont="1" applyFill="1" applyBorder="1"/>
    <xf numFmtId="0" fontId="12" fillId="3" borderId="1" xfId="0" applyFont="1" applyFill="1" applyBorder="1"/>
    <xf numFmtId="167" fontId="3" fillId="3" borderId="1" xfId="1" applyNumberFormat="1" applyFont="1" applyFill="1" applyBorder="1" applyAlignment="1">
      <alignment horizontal="center"/>
    </xf>
    <xf numFmtId="37" fontId="3" fillId="3" borderId="1" xfId="1" applyNumberFormat="1" applyFont="1" applyFill="1" applyBorder="1"/>
    <xf numFmtId="164" fontId="3" fillId="3" borderId="1" xfId="1" applyFont="1" applyFill="1" applyBorder="1"/>
    <xf numFmtId="0" fontId="9" fillId="3" borderId="1" xfId="0" applyFont="1" applyFill="1" applyBorder="1" applyAlignment="1">
      <alignment horizontal="left" indent="1"/>
    </xf>
    <xf numFmtId="4" fontId="3" fillId="3" borderId="1" xfId="0" applyNumberFormat="1" applyFont="1" applyFill="1" applyBorder="1"/>
    <xf numFmtId="0" fontId="6" fillId="3" borderId="1" xfId="0" applyFont="1" applyFill="1" applyBorder="1" applyAlignment="1">
      <alignment horizontal="left" indent="1"/>
    </xf>
    <xf numFmtId="37" fontId="6" fillId="3" borderId="1" xfId="1" applyNumberFormat="1" applyFont="1" applyFill="1" applyBorder="1"/>
    <xf numFmtId="4" fontId="6" fillId="3" borderId="1" xfId="0" applyNumberFormat="1" applyFont="1" applyFill="1" applyBorder="1"/>
    <xf numFmtId="0" fontId="3" fillId="3" borderId="1" xfId="0" applyFont="1" applyFill="1" applyBorder="1"/>
    <xf numFmtId="3" fontId="5" fillId="3" borderId="1" xfId="1" applyNumberFormat="1" applyFont="1" applyFill="1" applyBorder="1"/>
    <xf numFmtId="165" fontId="3" fillId="3" borderId="1" xfId="1" applyNumberFormat="1" applyFont="1" applyFill="1" applyBorder="1" applyAlignment="1">
      <alignment horizontal="center"/>
    </xf>
    <xf numFmtId="164" fontId="5" fillId="3" borderId="1" xfId="1" applyFont="1" applyFill="1" applyBorder="1"/>
    <xf numFmtId="168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164" fontId="12" fillId="3" borderId="1" xfId="1" applyFont="1" applyFill="1" applyBorder="1"/>
    <xf numFmtId="165" fontId="5" fillId="3" borderId="1" xfId="0" applyNumberFormat="1" applyFont="1" applyFill="1" applyBorder="1"/>
    <xf numFmtId="0" fontId="12" fillId="3" borderId="1" xfId="0" applyFont="1" applyFill="1" applyBorder="1" applyAlignment="1">
      <alignment horizontal="left"/>
    </xf>
    <xf numFmtId="0" fontId="3" fillId="3" borderId="3" xfId="0" applyFont="1" applyFill="1" applyBorder="1"/>
    <xf numFmtId="2" fontId="3" fillId="3" borderId="2" xfId="0" applyNumberFormat="1" applyFont="1" applyFill="1" applyBorder="1" applyAlignment="1">
      <alignment horizontal="center"/>
    </xf>
    <xf numFmtId="3" fontId="3" fillId="3" borderId="0" xfId="1" applyNumberFormat="1" applyFont="1" applyFill="1"/>
    <xf numFmtId="3" fontId="3" fillId="3" borderId="2" xfId="1" applyNumberFormat="1" applyFont="1" applyFill="1" applyBorder="1"/>
    <xf numFmtId="3" fontId="3" fillId="3" borderId="3" xfId="1" applyNumberFormat="1" applyFont="1" applyFill="1" applyBorder="1"/>
    <xf numFmtId="3" fontId="3" fillId="3" borderId="4" xfId="1" applyNumberFormat="1" applyFont="1" applyFill="1" applyBorder="1"/>
    <xf numFmtId="4" fontId="3" fillId="3" borderId="2" xfId="0" applyNumberFormat="1" applyFont="1" applyFill="1" applyBorder="1"/>
    <xf numFmtId="0" fontId="5" fillId="3" borderId="0" xfId="0" applyFont="1" applyFill="1" applyBorder="1"/>
    <xf numFmtId="3" fontId="5" fillId="3" borderId="0" xfId="0" applyNumberFormat="1" applyFont="1" applyFill="1"/>
    <xf numFmtId="3" fontId="13" fillId="3" borderId="0" xfId="0" applyNumberFormat="1" applyFont="1" applyFill="1"/>
    <xf numFmtId="164" fontId="4" fillId="3" borderId="0" xfId="1" applyFont="1" applyFill="1" applyAlignment="1">
      <alignment horizontal="center"/>
    </xf>
    <xf numFmtId="164" fontId="4" fillId="3" borderId="0" xfId="1" applyFont="1" applyFill="1"/>
    <xf numFmtId="0" fontId="12" fillId="7" borderId="1" xfId="0" applyFont="1" applyFill="1" applyBorder="1"/>
    <xf numFmtId="167" fontId="3" fillId="7" borderId="1" xfId="1" applyNumberFormat="1" applyFont="1" applyFill="1" applyBorder="1" applyAlignment="1">
      <alignment horizontal="center"/>
    </xf>
    <xf numFmtId="37" fontId="3" fillId="7" borderId="1" xfId="1" applyNumberFormat="1" applyFont="1" applyFill="1" applyBorder="1"/>
    <xf numFmtId="3" fontId="3" fillId="7" borderId="1" xfId="1" applyNumberFormat="1" applyFont="1" applyFill="1" applyBorder="1"/>
    <xf numFmtId="164" fontId="3" fillId="7" borderId="1" xfId="1" applyFont="1" applyFill="1" applyBorder="1"/>
    <xf numFmtId="3" fontId="3" fillId="7" borderId="1" xfId="0" applyNumberFormat="1" applyFont="1" applyFill="1" applyBorder="1"/>
    <xf numFmtId="3" fontId="4" fillId="7" borderId="0" xfId="0" applyNumberFormat="1" applyFont="1" applyFill="1"/>
    <xf numFmtId="0" fontId="4" fillId="7" borderId="0" xfId="0" applyFont="1" applyFill="1"/>
    <xf numFmtId="3" fontId="5" fillId="7" borderId="1" xfId="1" applyNumberFormat="1" applyFont="1" applyFill="1" applyBorder="1"/>
    <xf numFmtId="4" fontId="5" fillId="7" borderId="1" xfId="0" applyNumberFormat="1" applyFont="1" applyFill="1" applyBorder="1"/>
    <xf numFmtId="0" fontId="10" fillId="7" borderId="0" xfId="0" applyFont="1" applyFill="1"/>
    <xf numFmtId="0" fontId="5" fillId="7" borderId="0" xfId="0" applyFont="1" applyFill="1"/>
    <xf numFmtId="165" fontId="3" fillId="7" borderId="1" xfId="1" applyNumberFormat="1" applyFont="1" applyFill="1" applyBorder="1" applyAlignment="1">
      <alignment horizontal="center"/>
    </xf>
    <xf numFmtId="164" fontId="5" fillId="7" borderId="1" xfId="1" applyFont="1" applyFill="1" applyBorder="1"/>
    <xf numFmtId="168" fontId="3" fillId="7" borderId="1" xfId="1" applyNumberFormat="1" applyFont="1" applyFill="1" applyBorder="1" applyAlignment="1">
      <alignment horizontal="center"/>
    </xf>
    <xf numFmtId="164" fontId="12" fillId="7" borderId="1" xfId="1" applyFont="1" applyFill="1" applyBorder="1"/>
    <xf numFmtId="164" fontId="5" fillId="7" borderId="0" xfId="1" applyFont="1" applyFill="1"/>
    <xf numFmtId="165" fontId="5" fillId="7" borderId="1" xfId="0" applyNumberFormat="1" applyFont="1" applyFill="1" applyBorder="1"/>
    <xf numFmtId="0" fontId="12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4" fontId="3" fillId="7" borderId="1" xfId="0" applyNumberFormat="1" applyFont="1" applyFill="1" applyBorder="1"/>
    <xf numFmtId="0" fontId="6" fillId="7" borderId="0" xfId="0" applyFont="1" applyFill="1"/>
    <xf numFmtId="3" fontId="6" fillId="8" borderId="1" xfId="0" applyNumberFormat="1" applyFont="1" applyFill="1" applyBorder="1"/>
    <xf numFmtId="3" fontId="3" fillId="9" borderId="1" xfId="1" applyNumberFormat="1" applyFont="1" applyFill="1" applyBorder="1"/>
    <xf numFmtId="3" fontId="4" fillId="10" borderId="0" xfId="0" applyNumberFormat="1" applyFont="1" applyFill="1"/>
    <xf numFmtId="3" fontId="12" fillId="10" borderId="1" xfId="0" applyNumberFormat="1" applyFont="1" applyFill="1" applyBorder="1" applyAlignment="1">
      <alignment horizontal="center"/>
    </xf>
    <xf numFmtId="3" fontId="6" fillId="10" borderId="1" xfId="0" applyNumberFormat="1" applyFont="1" applyFill="1" applyBorder="1"/>
    <xf numFmtId="3" fontId="3" fillId="10" borderId="1" xfId="1" applyNumberFormat="1" applyFont="1" applyFill="1" applyBorder="1"/>
    <xf numFmtId="3" fontId="6" fillId="10" borderId="1" xfId="1" applyNumberFormat="1" applyFont="1" applyFill="1" applyBorder="1"/>
    <xf numFmtId="3" fontId="4" fillId="9" borderId="0" xfId="0" applyNumberFormat="1" applyFont="1" applyFill="1"/>
    <xf numFmtId="3" fontId="3" fillId="9" borderId="1" xfId="0" applyNumberFormat="1" applyFont="1" applyFill="1" applyBorder="1"/>
    <xf numFmtId="3" fontId="12" fillId="9" borderId="1" xfId="0" applyNumberFormat="1" applyFont="1" applyFill="1" applyBorder="1"/>
    <xf numFmtId="3" fontId="6" fillId="9" borderId="1" xfId="0" applyNumberFormat="1" applyFont="1" applyFill="1" applyBorder="1"/>
    <xf numFmtId="3" fontId="5" fillId="9" borderId="1" xfId="1" applyNumberFormat="1" applyFont="1" applyFill="1" applyBorder="1"/>
    <xf numFmtId="164" fontId="4" fillId="9" borderId="0" xfId="1" applyFont="1" applyFill="1"/>
    <xf numFmtId="3" fontId="8" fillId="9" borderId="1" xfId="0" applyNumberFormat="1" applyFont="1" applyFill="1" applyBorder="1"/>
    <xf numFmtId="3" fontId="3" fillId="9" borderId="0" xfId="1" applyNumberFormat="1" applyFont="1" applyFill="1"/>
    <xf numFmtId="3" fontId="13" fillId="9" borderId="0" xfId="0" applyNumberFormat="1" applyFont="1" applyFill="1"/>
    <xf numFmtId="4" fontId="4" fillId="9" borderId="0" xfId="0" applyNumberFormat="1" applyFont="1" applyFill="1"/>
    <xf numFmtId="4" fontId="5" fillId="9" borderId="1" xfId="0" applyNumberFormat="1" applyFont="1" applyFill="1" applyBorder="1"/>
    <xf numFmtId="4" fontId="12" fillId="9" borderId="1" xfId="0" applyNumberFormat="1" applyFont="1" applyFill="1" applyBorder="1"/>
    <xf numFmtId="4" fontId="14" fillId="9" borderId="1" xfId="0" applyNumberFormat="1" applyFont="1" applyFill="1" applyBorder="1"/>
    <xf numFmtId="164" fontId="3" fillId="9" borderId="1" xfId="1" applyFont="1" applyFill="1" applyBorder="1"/>
    <xf numFmtId="4" fontId="3" fillId="9" borderId="2" xfId="0" applyNumberFormat="1" applyFont="1" applyFill="1" applyBorder="1"/>
    <xf numFmtId="2" fontId="3" fillId="3" borderId="1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3" fillId="7" borderId="1" xfId="1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4" fillId="3" borderId="0" xfId="1" applyNumberFormat="1" applyFont="1" applyFill="1" applyAlignment="1">
      <alignment horizontal="center"/>
    </xf>
    <xf numFmtId="3" fontId="5" fillId="9" borderId="1" xfId="0" applyNumberFormat="1" applyFont="1" applyFill="1" applyBorder="1"/>
    <xf numFmtId="3" fontId="4" fillId="9" borderId="1" xfId="0" applyNumberFormat="1" applyFont="1" applyFill="1" applyBorder="1"/>
    <xf numFmtId="3" fontId="3" fillId="9" borderId="3" xfId="1" applyNumberFormat="1" applyFont="1" applyFill="1" applyBorder="1"/>
    <xf numFmtId="3" fontId="8" fillId="10" borderId="1" xfId="0" applyNumberFormat="1" applyFont="1" applyFill="1" applyBorder="1"/>
    <xf numFmtId="164" fontId="4" fillId="10" borderId="0" xfId="1" applyFont="1" applyFill="1"/>
    <xf numFmtId="3" fontId="12" fillId="10" borderId="1" xfId="0" applyNumberFormat="1" applyFont="1" applyFill="1" applyBorder="1"/>
    <xf numFmtId="3" fontId="5" fillId="10" borderId="0" xfId="1" applyNumberFormat="1" applyFont="1" applyFill="1" applyBorder="1"/>
    <xf numFmtId="3" fontId="4" fillId="10" borderId="0" xfId="0" applyNumberFormat="1" applyFont="1" applyFill="1" applyBorder="1"/>
    <xf numFmtId="164" fontId="6" fillId="9" borderId="1" xfId="1" applyFont="1" applyFill="1" applyBorder="1"/>
    <xf numFmtId="3" fontId="4" fillId="11" borderId="0" xfId="0" applyNumberFormat="1" applyFont="1" applyFill="1"/>
    <xf numFmtId="3" fontId="12" fillId="11" borderId="1" xfId="0" applyNumberFormat="1" applyFont="1" applyFill="1" applyBorder="1"/>
    <xf numFmtId="3" fontId="6" fillId="11" borderId="1" xfId="0" applyNumberFormat="1" applyFont="1" applyFill="1" applyBorder="1"/>
    <xf numFmtId="3" fontId="3" fillId="11" borderId="1" xfId="0" applyNumberFormat="1" applyFont="1" applyFill="1" applyBorder="1"/>
    <xf numFmtId="3" fontId="3" fillId="11" borderId="2" xfId="1" applyNumberFormat="1" applyFont="1" applyFill="1" applyBorder="1"/>
    <xf numFmtId="164" fontId="4" fillId="11" borderId="0" xfId="1" applyFont="1" applyFill="1"/>
    <xf numFmtId="166" fontId="3" fillId="11" borderId="1" xfId="1" applyNumberFormat="1" applyFont="1" applyFill="1" applyBorder="1"/>
    <xf numFmtId="3" fontId="6" fillId="11" borderId="0" xfId="0" applyNumberFormat="1" applyFont="1" applyFill="1"/>
    <xf numFmtId="3" fontId="3" fillId="11" borderId="1" xfId="0" applyNumberFormat="1" applyFont="1" applyFill="1" applyBorder="1" applyAlignment="1">
      <alignment horizontal="center"/>
    </xf>
    <xf numFmtId="3" fontId="3" fillId="11" borderId="0" xfId="0" applyNumberFormat="1" applyFont="1" applyFill="1"/>
    <xf numFmtId="3" fontId="6" fillId="10" borderId="0" xfId="0" applyNumberFormat="1" applyFont="1" applyFill="1"/>
    <xf numFmtId="3" fontId="3" fillId="10" borderId="0" xfId="0" applyNumberFormat="1" applyFont="1" applyFill="1" applyAlignment="1">
      <alignment horizontal="center"/>
    </xf>
    <xf numFmtId="166" fontId="3" fillId="9" borderId="1" xfId="1" applyNumberFormat="1" applyFont="1" applyFill="1" applyBorder="1"/>
    <xf numFmtId="3" fontId="15" fillId="9" borderId="1" xfId="0" applyNumberFormat="1" applyFont="1" applyFill="1" applyBorder="1"/>
    <xf numFmtId="164" fontId="12" fillId="10" borderId="0" xfId="1" applyFont="1" applyFill="1" applyBorder="1"/>
    <xf numFmtId="164" fontId="13" fillId="10" borderId="0" xfId="1" applyFont="1" applyFill="1" applyBorder="1"/>
    <xf numFmtId="164" fontId="13" fillId="10" borderId="0" xfId="1" applyFont="1" applyFill="1"/>
    <xf numFmtId="164" fontId="16" fillId="10" borderId="0" xfId="1" applyFont="1" applyFill="1"/>
    <xf numFmtId="166" fontId="3" fillId="7" borderId="1" xfId="1" applyNumberFormat="1" applyFont="1" applyFill="1" applyBorder="1" applyAlignment="1">
      <alignment horizontal="center"/>
    </xf>
    <xf numFmtId="3" fontId="3" fillId="10" borderId="1" xfId="0" applyNumberFormat="1" applyFont="1" applyFill="1" applyBorder="1"/>
    <xf numFmtId="3" fontId="6" fillId="11" borderId="1" xfId="1" applyNumberFormat="1" applyFont="1" applyFill="1" applyBorder="1"/>
    <xf numFmtId="37" fontId="3" fillId="10" borderId="1" xfId="1" applyNumberFormat="1" applyFont="1" applyFill="1" applyBorder="1"/>
    <xf numFmtId="166" fontId="3" fillId="10" borderId="1" xfId="1" applyNumberFormat="1" applyFont="1" applyFill="1" applyBorder="1" applyAlignment="1">
      <alignment horizontal="center"/>
    </xf>
    <xf numFmtId="166" fontId="3" fillId="7" borderId="1" xfId="1" applyNumberFormat="1" applyFont="1" applyFill="1" applyBorder="1" applyAlignment="1"/>
    <xf numFmtId="166" fontId="4" fillId="10" borderId="0" xfId="0" applyNumberFormat="1" applyFont="1" applyFill="1"/>
    <xf numFmtId="166" fontId="12" fillId="10" borderId="1" xfId="0" applyNumberFormat="1" applyFont="1" applyFill="1" applyBorder="1"/>
    <xf numFmtId="166" fontId="6" fillId="10" borderId="1" xfId="0" applyNumberFormat="1" applyFont="1" applyFill="1" applyBorder="1"/>
    <xf numFmtId="43" fontId="4" fillId="3" borderId="0" xfId="0" applyNumberFormat="1" applyFont="1" applyFill="1"/>
    <xf numFmtId="166" fontId="17" fillId="7" borderId="1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/>
    <xf numFmtId="1" fontId="3" fillId="7" borderId="1" xfId="1" applyNumberFormat="1" applyFont="1" applyFill="1" applyBorder="1" applyAlignment="1"/>
    <xf numFmtId="1" fontId="17" fillId="7" borderId="1" xfId="1" applyNumberFormat="1" applyFont="1" applyFill="1" applyBorder="1" applyAlignment="1"/>
    <xf numFmtId="3" fontId="6" fillId="9" borderId="1" xfId="1" applyNumberFormat="1" applyFont="1" applyFill="1" applyBorder="1"/>
    <xf numFmtId="3" fontId="4" fillId="12" borderId="0" xfId="0" applyNumberFormat="1" applyFont="1" applyFill="1"/>
    <xf numFmtId="3" fontId="5" fillId="12" borderId="1" xfId="0" applyNumberFormat="1" applyFont="1" applyFill="1" applyBorder="1"/>
    <xf numFmtId="3" fontId="12" fillId="12" borderId="1" xfId="0" applyNumberFormat="1" applyFont="1" applyFill="1" applyBorder="1"/>
    <xf numFmtId="3" fontId="4" fillId="12" borderId="1" xfId="0" applyNumberFormat="1" applyFont="1" applyFill="1" applyBorder="1"/>
    <xf numFmtId="3" fontId="3" fillId="12" borderId="1" xfId="0" applyNumberFormat="1" applyFont="1" applyFill="1" applyBorder="1"/>
    <xf numFmtId="3" fontId="6" fillId="12" borderId="1" xfId="0" applyNumberFormat="1" applyFont="1" applyFill="1" applyBorder="1"/>
    <xf numFmtId="3" fontId="3" fillId="12" borderId="4" xfId="1" applyNumberFormat="1" applyFont="1" applyFill="1" applyBorder="1"/>
    <xf numFmtId="0" fontId="9" fillId="9" borderId="1" xfId="0" applyFont="1" applyFill="1" applyBorder="1" applyAlignment="1">
      <alignment horizontal="left" indent="1"/>
    </xf>
    <xf numFmtId="1" fontId="3" fillId="10" borderId="1" xfId="1" applyNumberFormat="1" applyFont="1" applyFill="1" applyBorder="1" applyAlignment="1"/>
    <xf numFmtId="3" fontId="4" fillId="13" borderId="0" xfId="0" applyNumberFormat="1" applyFont="1" applyFill="1"/>
    <xf numFmtId="3" fontId="12" fillId="13" borderId="1" xfId="0" applyNumberFormat="1" applyFont="1" applyFill="1" applyBorder="1"/>
    <xf numFmtId="3" fontId="8" fillId="13" borderId="1" xfId="0" applyNumberFormat="1" applyFont="1" applyFill="1" applyBorder="1"/>
    <xf numFmtId="3" fontId="3" fillId="13" borderId="1" xfId="0" applyNumberFormat="1" applyFont="1" applyFill="1" applyBorder="1"/>
    <xf numFmtId="3" fontId="6" fillId="13" borderId="1" xfId="0" applyNumberFormat="1" applyFont="1" applyFill="1" applyBorder="1"/>
    <xf numFmtId="3" fontId="3" fillId="13" borderId="1" xfId="1" applyNumberFormat="1" applyFont="1" applyFill="1" applyBorder="1"/>
    <xf numFmtId="3" fontId="3" fillId="13" borderId="0" xfId="1" applyNumberFormat="1" applyFont="1" applyFill="1"/>
    <xf numFmtId="3" fontId="13" fillId="13" borderId="0" xfId="0" applyNumberFormat="1" applyFont="1" applyFill="1"/>
    <xf numFmtId="166" fontId="6" fillId="13" borderId="0" xfId="1" applyNumberFormat="1" applyFont="1" applyFill="1"/>
    <xf numFmtId="166" fontId="3" fillId="3" borderId="1" xfId="1" applyNumberFormat="1" applyFont="1" applyFill="1" applyBorder="1" applyAlignment="1"/>
    <xf numFmtId="166" fontId="3" fillId="9" borderId="1" xfId="1" applyNumberFormat="1" applyFont="1" applyFill="1" applyBorder="1" applyAlignment="1"/>
    <xf numFmtId="166" fontId="3" fillId="3" borderId="1" xfId="1" applyNumberFormat="1" applyFont="1" applyFill="1" applyBorder="1"/>
    <xf numFmtId="166" fontId="3" fillId="12" borderId="1" xfId="1" applyNumberFormat="1" applyFont="1" applyFill="1" applyBorder="1" applyAlignment="1"/>
    <xf numFmtId="166" fontId="4" fillId="3" borderId="0" xfId="1" applyNumberFormat="1" applyFont="1" applyFill="1"/>
    <xf numFmtId="1" fontId="3" fillId="3" borderId="1" xfId="1" applyNumberFormat="1" applyFont="1" applyFill="1" applyBorder="1"/>
    <xf numFmtId="1" fontId="3" fillId="7" borderId="1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horizontal="left" indent="1"/>
    </xf>
    <xf numFmtId="4" fontId="3" fillId="3" borderId="0" xfId="1" applyNumberFormat="1" applyFont="1" applyFill="1"/>
    <xf numFmtId="4" fontId="3" fillId="13" borderId="0" xfId="1" applyNumberFormat="1" applyFont="1" applyFill="1"/>
    <xf numFmtId="37" fontId="6" fillId="10" borderId="1" xfId="1" applyNumberFormat="1" applyFont="1" applyFill="1" applyBorder="1"/>
    <xf numFmtId="0" fontId="4" fillId="10" borderId="0" xfId="0" applyFont="1" applyFill="1"/>
    <xf numFmtId="4" fontId="3" fillId="3" borderId="1" xfId="1" applyNumberFormat="1" applyFont="1" applyFill="1" applyBorder="1"/>
    <xf numFmtId="2" fontId="4" fillId="10" borderId="1" xfId="0" applyNumberFormat="1" applyFont="1" applyFill="1" applyBorder="1" applyAlignment="1">
      <alignment horizontal="center"/>
    </xf>
    <xf numFmtId="166" fontId="3" fillId="9" borderId="1" xfId="1" applyNumberFormat="1" applyFont="1" applyFill="1" applyBorder="1" applyAlignment="1">
      <alignment horizontal="center"/>
    </xf>
    <xf numFmtId="166" fontId="6" fillId="3" borderId="1" xfId="1" applyNumberFormat="1" applyFont="1" applyFill="1" applyBorder="1"/>
    <xf numFmtId="166" fontId="6" fillId="3" borderId="0" xfId="1" applyNumberFormat="1" applyFont="1" applyFill="1"/>
    <xf numFmtId="1" fontId="3" fillId="9" borderId="1" xfId="1" applyNumberFormat="1" applyFont="1" applyFill="1" applyBorder="1" applyAlignment="1">
      <alignment horizontal="right"/>
    </xf>
    <xf numFmtId="166" fontId="4" fillId="10" borderId="0" xfId="1" applyNumberFormat="1" applyFont="1" applyFill="1"/>
    <xf numFmtId="166" fontId="12" fillId="11" borderId="1" xfId="1" applyNumberFormat="1" applyFont="1" applyFill="1" applyBorder="1"/>
    <xf numFmtId="166" fontId="6" fillId="11" borderId="1" xfId="1" applyNumberFormat="1" applyFont="1" applyFill="1" applyBorder="1"/>
    <xf numFmtId="166" fontId="3" fillId="10" borderId="1" xfId="1" applyNumberFormat="1" applyFont="1" applyFill="1" applyBorder="1" applyAlignment="1"/>
    <xf numFmtId="166" fontId="4" fillId="11" borderId="0" xfId="1" applyNumberFormat="1" applyFont="1" applyFill="1"/>
    <xf numFmtId="0" fontId="11" fillId="3" borderId="1" xfId="0" applyFont="1" applyFill="1" applyBorder="1" applyAlignment="1">
      <alignment horizontal="left" indent="1"/>
    </xf>
    <xf numFmtId="166" fontId="6" fillId="10" borderId="1" xfId="1" applyNumberFormat="1" applyFont="1" applyFill="1" applyBorder="1" applyAlignment="1"/>
    <xf numFmtId="166" fontId="3" fillId="11" borderId="1" xfId="1" applyNumberFormat="1" applyFont="1" applyFill="1" applyBorder="1" applyAlignment="1"/>
    <xf numFmtId="3" fontId="3" fillId="11" borderId="1" xfId="1" applyNumberFormat="1" applyFont="1" applyFill="1" applyBorder="1"/>
    <xf numFmtId="166" fontId="6" fillId="11" borderId="1" xfId="1" applyNumberFormat="1" applyFont="1" applyFill="1" applyBorder="1" applyAlignment="1"/>
    <xf numFmtId="37" fontId="6" fillId="11" borderId="1" xfId="1" applyNumberFormat="1" applyFont="1" applyFill="1" applyBorder="1" applyAlignment="1"/>
    <xf numFmtId="37" fontId="3" fillId="11" borderId="1" xfId="1" applyNumberFormat="1" applyFont="1" applyFill="1" applyBorder="1" applyAlignment="1"/>
    <xf numFmtId="3" fontId="3" fillId="9" borderId="1" xfId="1" applyNumberFormat="1" applyFont="1" applyFill="1" applyBorder="1" applyAlignment="1"/>
    <xf numFmtId="166" fontId="3" fillId="3" borderId="1" xfId="1" applyNumberFormat="1" applyFont="1" applyFill="1" applyBorder="1" applyAlignment="1">
      <alignment horizontal="right"/>
    </xf>
    <xf numFmtId="3" fontId="12" fillId="11" borderId="1" xfId="0" applyNumberFormat="1" applyFont="1" applyFill="1" applyBorder="1" applyAlignment="1">
      <alignment horizontal="center"/>
    </xf>
    <xf numFmtId="166" fontId="6" fillId="7" borderId="1" xfId="1" applyNumberFormat="1" applyFont="1" applyFill="1" applyBorder="1" applyAlignment="1"/>
    <xf numFmtId="2" fontId="18" fillId="10" borderId="1" xfId="0" applyNumberFormat="1" applyFont="1" applyFill="1" applyBorder="1" applyAlignment="1">
      <alignment horizontal="center"/>
    </xf>
    <xf numFmtId="1" fontId="3" fillId="9" borderId="1" xfId="1" applyNumberFormat="1" applyFont="1" applyFill="1" applyBorder="1" applyAlignment="1"/>
    <xf numFmtId="0" fontId="10" fillId="10" borderId="0" xfId="0" applyFont="1" applyFill="1"/>
    <xf numFmtId="0" fontId="5" fillId="10" borderId="0" xfId="0" applyFont="1" applyFill="1"/>
    <xf numFmtId="0" fontId="12" fillId="9" borderId="1" xfId="0" applyFont="1" applyFill="1" applyBorder="1"/>
    <xf numFmtId="1" fontId="3" fillId="9" borderId="1" xfId="1" applyNumberFormat="1" applyFont="1" applyFill="1" applyBorder="1" applyAlignment="1">
      <alignment horizontal="center"/>
    </xf>
    <xf numFmtId="37" fontId="3" fillId="9" borderId="1" xfId="1" applyNumberFormat="1" applyFont="1" applyFill="1" applyBorder="1"/>
    <xf numFmtId="1" fontId="3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166" fontId="3" fillId="9" borderId="1" xfId="1" applyNumberFormat="1" applyFont="1" applyFill="1" applyBorder="1" applyAlignment="1">
      <alignment horizontal="right"/>
    </xf>
    <xf numFmtId="1" fontId="6" fillId="3" borderId="1" xfId="1" applyNumberFormat="1" applyFont="1" applyFill="1" applyBorder="1"/>
    <xf numFmtId="1" fontId="3" fillId="7" borderId="1" xfId="1" applyNumberFormat="1" applyFont="1" applyFill="1" applyBorder="1" applyAlignment="1">
      <alignment horizontal="right"/>
    </xf>
    <xf numFmtId="1" fontId="3" fillId="9" borderId="1" xfId="0" applyNumberFormat="1" applyFont="1" applyFill="1" applyBorder="1" applyAlignment="1">
      <alignment horizontal="right"/>
    </xf>
    <xf numFmtId="1" fontId="6" fillId="3" borderId="0" xfId="1" applyNumberFormat="1" applyFont="1" applyFill="1" applyAlignment="1">
      <alignment horizontal="right"/>
    </xf>
    <xf numFmtId="1" fontId="3" fillId="11" borderId="1" xfId="1" applyNumberFormat="1" applyFont="1" applyFill="1" applyBorder="1" applyAlignment="1">
      <alignment horizontal="right"/>
    </xf>
    <xf numFmtId="1" fontId="3" fillId="3" borderId="1" xfId="1" applyNumberFormat="1" applyFont="1" applyFill="1" applyBorder="1" applyAlignment="1">
      <alignment horizontal="right"/>
    </xf>
    <xf numFmtId="166" fontId="3" fillId="9" borderId="0" xfId="1" applyNumberFormat="1" applyFont="1" applyFill="1"/>
    <xf numFmtId="1" fontId="3" fillId="10" borderId="1" xfId="1" applyNumberFormat="1" applyFont="1" applyFill="1" applyBorder="1"/>
    <xf numFmtId="1" fontId="3" fillId="11" borderId="2" xfId="1" applyNumberFormat="1" applyFont="1" applyFill="1" applyBorder="1" applyAlignment="1">
      <alignment horizontal="right"/>
    </xf>
    <xf numFmtId="1" fontId="3" fillId="9" borderId="0" xfId="1" applyNumberFormat="1" applyFont="1" applyFill="1" applyAlignment="1">
      <alignment horizontal="right"/>
    </xf>
    <xf numFmtId="1" fontId="6" fillId="7" borderId="1" xfId="1" applyNumberFormat="1" applyFont="1" applyFill="1" applyBorder="1" applyAlignment="1"/>
    <xf numFmtId="166" fontId="6" fillId="7" borderId="1" xfId="1" applyNumberFormat="1" applyFont="1" applyFill="1" applyBorder="1" applyAlignment="1">
      <alignment horizontal="center"/>
    </xf>
    <xf numFmtId="0" fontId="6" fillId="10" borderId="0" xfId="0" applyFont="1" applyFill="1"/>
    <xf numFmtId="0" fontId="3" fillId="10" borderId="0" xfId="0" applyFont="1" applyFill="1"/>
    <xf numFmtId="164" fontId="5" fillId="10" borderId="0" xfId="1" applyFont="1" applyFill="1"/>
    <xf numFmtId="3" fontId="4" fillId="10" borderId="0" xfId="1" applyNumberFormat="1" applyFont="1" applyFill="1"/>
    <xf numFmtId="4" fontId="4" fillId="10" borderId="0" xfId="0" applyNumberFormat="1" applyFont="1" applyFill="1"/>
    <xf numFmtId="2" fontId="3" fillId="9" borderId="1" xfId="0" applyNumberFormat="1" applyFont="1" applyFill="1" applyBorder="1" applyAlignment="1">
      <alignment horizontal="right"/>
    </xf>
    <xf numFmtId="1" fontId="3" fillId="13" borderId="1" xfId="1" applyNumberFormat="1" applyFont="1" applyFill="1" applyBorder="1" applyAlignment="1"/>
    <xf numFmtId="3" fontId="6" fillId="13" borderId="0" xfId="0" applyNumberFormat="1" applyFont="1" applyFill="1" applyBorder="1"/>
    <xf numFmtId="3" fontId="6" fillId="3" borderId="0" xfId="0" applyNumberFormat="1" applyFont="1" applyFill="1" applyBorder="1"/>
    <xf numFmtId="3" fontId="6" fillId="9" borderId="3" xfId="0" applyNumberFormat="1" applyFont="1" applyFill="1" applyBorder="1"/>
    <xf numFmtId="3" fontId="6" fillId="12" borderId="4" xfId="0" applyNumberFormat="1" applyFont="1" applyFill="1" applyBorder="1"/>
    <xf numFmtId="164" fontId="6" fillId="9" borderId="2" xfId="1" applyFont="1" applyFill="1" applyBorder="1"/>
    <xf numFmtId="166" fontId="3" fillId="10" borderId="0" xfId="1" applyNumberFormat="1" applyFont="1" applyFill="1" applyBorder="1" applyAlignment="1">
      <alignment horizontal="center"/>
    </xf>
    <xf numFmtId="0" fontId="3" fillId="3" borderId="7" xfId="0" applyFont="1" applyFill="1" applyBorder="1"/>
    <xf numFmtId="3" fontId="4" fillId="10" borderId="1" xfId="1" applyNumberFormat="1" applyFont="1" applyFill="1" applyBorder="1"/>
    <xf numFmtId="3" fontId="4" fillId="10" borderId="1" xfId="0" applyNumberFormat="1" applyFont="1" applyFill="1" applyBorder="1"/>
    <xf numFmtId="166" fontId="4" fillId="10" borderId="1" xfId="1" applyNumberFormat="1" applyFont="1" applyFill="1" applyBorder="1"/>
    <xf numFmtId="4" fontId="4" fillId="10" borderId="1" xfId="0" applyNumberFormat="1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/>
    <xf numFmtId="0" fontId="12" fillId="9" borderId="5" xfId="0" applyFont="1" applyFill="1" applyBorder="1" applyAlignment="1">
      <alignment horizontal="left"/>
    </xf>
    <xf numFmtId="2" fontId="4" fillId="9" borderId="5" xfId="1" applyNumberFormat="1" applyFont="1" applyFill="1" applyBorder="1" applyAlignment="1">
      <alignment horizontal="center"/>
    </xf>
    <xf numFmtId="164" fontId="4" fillId="9" borderId="5" xfId="1" applyFont="1" applyFill="1" applyBorder="1"/>
    <xf numFmtId="3" fontId="4" fillId="9" borderId="5" xfId="1" applyNumberFormat="1" applyFont="1" applyFill="1" applyBorder="1"/>
    <xf numFmtId="3" fontId="4" fillId="9" borderId="5" xfId="0" applyNumberFormat="1" applyFont="1" applyFill="1" applyBorder="1"/>
    <xf numFmtId="166" fontId="4" fillId="9" borderId="5" xfId="1" applyNumberFormat="1" applyFont="1" applyFill="1" applyBorder="1"/>
    <xf numFmtId="3" fontId="5" fillId="9" borderId="5" xfId="1" applyNumberFormat="1" applyFont="1" applyFill="1" applyBorder="1"/>
    <xf numFmtId="4" fontId="4" fillId="9" borderId="5" xfId="0" applyNumberFormat="1" applyFont="1" applyFill="1" applyBorder="1"/>
    <xf numFmtId="3" fontId="5" fillId="9" borderId="5" xfId="0" applyNumberFormat="1" applyFont="1" applyFill="1" applyBorder="1"/>
    <xf numFmtId="3" fontId="3" fillId="9" borderId="5" xfId="0" applyNumberFormat="1" applyFont="1" applyFill="1" applyBorder="1"/>
    <xf numFmtId="0" fontId="5" fillId="9" borderId="5" xfId="0" applyFont="1" applyFill="1" applyBorder="1"/>
    <xf numFmtId="0" fontId="4" fillId="3" borderId="0" xfId="0" applyFont="1" applyFill="1" applyBorder="1"/>
    <xf numFmtId="2" fontId="4" fillId="10" borderId="1" xfId="0" applyNumberFormat="1" applyFont="1" applyFill="1" applyBorder="1"/>
    <xf numFmtId="0" fontId="3" fillId="3" borderId="5" xfId="0" applyFont="1" applyFill="1" applyBorder="1"/>
    <xf numFmtId="2" fontId="3" fillId="3" borderId="5" xfId="1" applyNumberFormat="1" applyFont="1" applyFill="1" applyBorder="1" applyAlignment="1">
      <alignment horizontal="center"/>
    </xf>
    <xf numFmtId="166" fontId="3" fillId="3" borderId="5" xfId="1" applyNumberFormat="1" applyFont="1" applyFill="1" applyBorder="1"/>
    <xf numFmtId="166" fontId="3" fillId="11" borderId="5" xfId="1" applyNumberFormat="1" applyFont="1" applyFill="1" applyBorder="1" applyAlignment="1"/>
    <xf numFmtId="166" fontId="3" fillId="3" borderId="5" xfId="1" applyNumberFormat="1" applyFont="1" applyFill="1" applyBorder="1" applyAlignment="1">
      <alignment horizontal="right"/>
    </xf>
    <xf numFmtId="3" fontId="3" fillId="3" borderId="5" xfId="1" applyNumberFormat="1" applyFont="1" applyFill="1" applyBorder="1"/>
    <xf numFmtId="3" fontId="3" fillId="11" borderId="5" xfId="1" applyNumberFormat="1" applyFont="1" applyFill="1" applyBorder="1"/>
    <xf numFmtId="2" fontId="3" fillId="9" borderId="1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4" fillId="3" borderId="1" xfId="0" applyFont="1" applyFill="1" applyBorder="1"/>
    <xf numFmtId="4" fontId="4" fillId="9" borderId="1" xfId="0" applyNumberFormat="1" applyFont="1" applyFill="1" applyBorder="1"/>
    <xf numFmtId="0" fontId="4" fillId="9" borderId="1" xfId="0" applyFont="1" applyFill="1" applyBorder="1"/>
    <xf numFmtId="165" fontId="3" fillId="3" borderId="1" xfId="0" applyNumberFormat="1" applyFont="1" applyFill="1" applyBorder="1"/>
    <xf numFmtId="166" fontId="3" fillId="10" borderId="1" xfId="1" applyNumberFormat="1" applyFont="1" applyFill="1" applyBorder="1"/>
    <xf numFmtId="4" fontId="3" fillId="10" borderId="1" xfId="0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6" fontId="4" fillId="3" borderId="0" xfId="0" applyNumberFormat="1" applyFont="1" applyFill="1"/>
    <xf numFmtId="166" fontId="6" fillId="3" borderId="0" xfId="0" applyNumberFormat="1" applyFont="1" applyFill="1"/>
    <xf numFmtId="166" fontId="3" fillId="3" borderId="0" xfId="0" applyNumberFormat="1" applyFont="1" applyFill="1"/>
    <xf numFmtId="166" fontId="6" fillId="10" borderId="0" xfId="0" applyNumberFormat="1" applyFont="1" applyFill="1"/>
    <xf numFmtId="166" fontId="5" fillId="10" borderId="0" xfId="0" applyNumberFormat="1" applyFont="1" applyFill="1"/>
    <xf numFmtId="166" fontId="3" fillId="10" borderId="0" xfId="0" applyNumberFormat="1" applyFont="1" applyFill="1"/>
    <xf numFmtId="3" fontId="5" fillId="10" borderId="1" xfId="0" applyNumberFormat="1" applyFont="1" applyFill="1" applyBorder="1"/>
    <xf numFmtId="165" fontId="3" fillId="9" borderId="1" xfId="1" applyNumberFormat="1" applyFont="1" applyFill="1" applyBorder="1" applyAlignment="1">
      <alignment horizontal="center"/>
    </xf>
    <xf numFmtId="165" fontId="3" fillId="9" borderId="5" xfId="1" applyNumberFormat="1" applyFont="1" applyFill="1" applyBorder="1" applyAlignment="1">
      <alignment horizontal="center"/>
    </xf>
    <xf numFmtId="165" fontId="3" fillId="10" borderId="5" xfId="1" applyNumberFormat="1" applyFont="1" applyFill="1" applyBorder="1" applyAlignment="1">
      <alignment horizontal="center"/>
    </xf>
    <xf numFmtId="37" fontId="4" fillId="3" borderId="0" xfId="0" applyNumberFormat="1" applyFont="1" applyFill="1"/>
    <xf numFmtId="37" fontId="4" fillId="10" borderId="0" xfId="0" applyNumberFormat="1" applyFont="1" applyFill="1"/>
    <xf numFmtId="37" fontId="9" fillId="3" borderId="0" xfId="0" applyNumberFormat="1" applyFont="1" applyFill="1" applyAlignment="1">
      <alignment horizontal="center"/>
    </xf>
    <xf numFmtId="37" fontId="12" fillId="3" borderId="1" xfId="0" applyNumberFormat="1" applyFont="1" applyFill="1" applyBorder="1"/>
    <xf numFmtId="37" fontId="12" fillId="10" borderId="1" xfId="0" applyNumberFormat="1" applyFont="1" applyFill="1" applyBorder="1"/>
    <xf numFmtId="37" fontId="12" fillId="11" borderId="1" xfId="0" applyNumberFormat="1" applyFont="1" applyFill="1" applyBorder="1"/>
    <xf numFmtId="37" fontId="6" fillId="3" borderId="1" xfId="0" applyNumberFormat="1" applyFont="1" applyFill="1" applyBorder="1"/>
    <xf numFmtId="37" fontId="6" fillId="10" borderId="1" xfId="0" applyNumberFormat="1" applyFont="1" applyFill="1" applyBorder="1"/>
    <xf numFmtId="37" fontId="6" fillId="11" borderId="1" xfId="0" applyNumberFormat="1" applyFont="1" applyFill="1" applyBorder="1"/>
    <xf numFmtId="37" fontId="3" fillId="9" borderId="1" xfId="1" applyNumberFormat="1" applyFont="1" applyFill="1" applyBorder="1" applyAlignment="1"/>
    <xf numFmtId="37" fontId="3" fillId="10" borderId="1" xfId="1" applyNumberFormat="1" applyFont="1" applyFill="1" applyBorder="1" applyAlignment="1"/>
    <xf numFmtId="37" fontId="3" fillId="7" borderId="1" xfId="1" applyNumberFormat="1" applyFont="1" applyFill="1" applyBorder="1" applyAlignment="1"/>
    <xf numFmtId="37" fontId="6" fillId="10" borderId="1" xfId="1" applyNumberFormat="1" applyFont="1" applyFill="1" applyBorder="1" applyAlignment="1"/>
    <xf numFmtId="37" fontId="6" fillId="7" borderId="1" xfId="1" applyNumberFormat="1" applyFont="1" applyFill="1" applyBorder="1" applyAlignment="1"/>
    <xf numFmtId="37" fontId="3" fillId="3" borderId="1" xfId="0" applyNumberFormat="1" applyFont="1" applyFill="1" applyBorder="1" applyAlignment="1">
      <alignment horizontal="center"/>
    </xf>
    <xf numFmtId="37" fontId="3" fillId="9" borderId="1" xfId="1" applyNumberFormat="1" applyFont="1" applyFill="1" applyBorder="1" applyAlignment="1">
      <alignment horizontal="center"/>
    </xf>
    <xf numFmtId="37" fontId="6" fillId="10" borderId="0" xfId="1" applyNumberFormat="1" applyFont="1" applyFill="1"/>
    <xf numFmtId="37" fontId="3" fillId="3" borderId="5" xfId="1" applyNumberFormat="1" applyFont="1" applyFill="1" applyBorder="1"/>
    <xf numFmtId="37" fontId="4" fillId="9" borderId="5" xfId="0" applyNumberFormat="1" applyFont="1" applyFill="1" applyBorder="1"/>
    <xf numFmtId="37" fontId="4" fillId="10" borderId="1" xfId="0" applyNumberFormat="1" applyFont="1" applyFill="1" applyBorder="1"/>
    <xf numFmtId="37" fontId="3" fillId="9" borderId="5" xfId="1" applyNumberFormat="1" applyFont="1" applyFill="1" applyBorder="1" applyAlignment="1"/>
    <xf numFmtId="37" fontId="3" fillId="10" borderId="0" xfId="1" applyNumberFormat="1" applyFont="1" applyFill="1" applyBorder="1" applyAlignment="1"/>
    <xf numFmtId="37" fontId="4" fillId="10" borderId="0" xfId="0" applyNumberFormat="1" applyFont="1" applyFill="1" applyBorder="1"/>
    <xf numFmtId="37" fontId="4" fillId="9" borderId="1" xfId="0" applyNumberFormat="1" applyFont="1" applyFill="1" applyBorder="1"/>
    <xf numFmtId="37" fontId="3" fillId="10" borderId="1" xfId="0" applyNumberFormat="1" applyFont="1" applyFill="1" applyBorder="1"/>
    <xf numFmtId="37" fontId="4" fillId="11" borderId="0" xfId="0" applyNumberFormat="1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3" fontId="19" fillId="10" borderId="0" xfId="0" applyNumberFormat="1" applyFont="1" applyFill="1" applyAlignment="1">
      <alignment horizontal="right" vertical="top" textRotation="180"/>
    </xf>
    <xf numFmtId="3" fontId="19" fillId="10" borderId="6" xfId="0" applyNumberFormat="1" applyFont="1" applyFill="1" applyBorder="1" applyAlignment="1">
      <alignment horizontal="right" vertical="top" textRotation="180"/>
    </xf>
    <xf numFmtId="0" fontId="20" fillId="3" borderId="0" xfId="0" applyFont="1" applyFill="1" applyAlignment="1">
      <alignment horizontal="center"/>
    </xf>
    <xf numFmtId="0" fontId="0" fillId="0" borderId="0" xfId="0" applyAlignment="1">
      <alignment horizontal="center" textRotation="9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166"/>
  <sheetViews>
    <sheetView workbookViewId="0"/>
  </sheetViews>
  <sheetFormatPr defaultRowHeight="10.5" x14ac:dyDescent="0.15"/>
  <cols>
    <col min="1" max="1" width="26.5703125" style="69" customWidth="1"/>
    <col min="2" max="2" width="7.42578125" style="55" customWidth="1"/>
    <col min="3" max="3" width="8.85546875" style="90" customWidth="1"/>
    <col min="4" max="4" width="10.85546875" style="86" customWidth="1"/>
    <col min="5" max="5" width="15.140625" style="70" customWidth="1"/>
    <col min="6" max="6" width="7.7109375" style="70" customWidth="1"/>
    <col min="7" max="7" width="8.7109375" style="6" hidden="1" customWidth="1"/>
    <col min="8" max="8" width="14" style="70" hidden="1" customWidth="1"/>
    <col min="9" max="9" width="12.140625" style="70" hidden="1" customWidth="1"/>
    <col min="10" max="11" width="7.7109375" style="70" customWidth="1"/>
    <col min="12" max="12" width="16" style="70" hidden="1" customWidth="1"/>
    <col min="13" max="13" width="7.7109375" style="47" customWidth="1"/>
    <col min="14" max="14" width="10.140625" style="6" customWidth="1"/>
    <col min="15" max="15" width="8.7109375" style="98" customWidth="1"/>
    <col min="16" max="16" width="11.28515625" style="98" hidden="1" customWidth="1"/>
    <col min="17" max="17" width="7.7109375" style="98" customWidth="1"/>
    <col min="18" max="18" width="14.140625" style="98" customWidth="1"/>
    <col min="19" max="19" width="14.140625" style="98" hidden="1" customWidth="1"/>
    <col min="20" max="20" width="20.7109375" style="6" hidden="1" customWidth="1"/>
    <col min="21" max="21" width="16.7109375" style="78" hidden="1" customWidth="1"/>
    <col min="22" max="22" width="14.140625" style="47" customWidth="1"/>
    <col min="23" max="23" width="8.7109375" style="21" customWidth="1"/>
    <col min="24" max="24" width="7.7109375" style="38" customWidth="1"/>
    <col min="25" max="25" width="7.7109375" style="39" customWidth="1"/>
    <col min="26" max="16384" width="9.140625" style="2"/>
  </cols>
  <sheetData>
    <row r="3" spans="1:38" x14ac:dyDescent="0.15">
      <c r="U3" s="78">
        <f>U10+U11+U13+U14+U15+U16+U18+U17+U22+U23+U24+U25+U26++U29+U30+U32+U33+U34+U35+U37+U38+U39+U40+U41+U43+U44+U45+U47+U48+U50+U51+U55+U54+U56+U57+U61+U63+U65+U66+U69+U68+U70+U76+U74+U77+U78+U79+U80+U81+U83+U85+U86+U87+U89+U88+U90+U91+U92+U93+U96+U97+U98+U99+U101+U100+U103+U104+U105+U106+U109+U110+U111+U112+U113+U124</f>
        <v>23117579.169328898</v>
      </c>
    </row>
    <row r="4" spans="1:38" x14ac:dyDescent="0.15">
      <c r="A4" s="427" t="s">
        <v>126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34"/>
    </row>
    <row r="6" spans="1:38" x14ac:dyDescent="0.15">
      <c r="A6" s="57" t="s">
        <v>114</v>
      </c>
      <c r="B6" s="49"/>
      <c r="C6" s="421" t="s">
        <v>111</v>
      </c>
      <c r="D6" s="422"/>
      <c r="E6" s="422"/>
      <c r="F6" s="422"/>
      <c r="G6" s="422"/>
      <c r="H6" s="422"/>
      <c r="I6" s="422"/>
      <c r="J6" s="422"/>
      <c r="K6" s="423"/>
      <c r="L6" s="75" t="s">
        <v>42</v>
      </c>
      <c r="M6" s="424" t="s">
        <v>112</v>
      </c>
      <c r="N6" s="425"/>
      <c r="O6" s="425"/>
      <c r="P6" s="425"/>
      <c r="Q6" s="425"/>
      <c r="R6" s="426"/>
      <c r="S6" s="103" t="s">
        <v>43</v>
      </c>
      <c r="T6" s="1" t="s">
        <v>127</v>
      </c>
      <c r="U6" s="79" t="s">
        <v>39</v>
      </c>
      <c r="V6" s="428" t="s">
        <v>113</v>
      </c>
      <c r="W6" s="429"/>
      <c r="X6" s="429"/>
      <c r="Y6" s="430"/>
    </row>
    <row r="7" spans="1:38" x14ac:dyDescent="0.15">
      <c r="A7" s="58" t="s">
        <v>96</v>
      </c>
      <c r="B7" s="50" t="s">
        <v>36</v>
      </c>
      <c r="C7" s="50" t="s">
        <v>122</v>
      </c>
      <c r="D7" s="87"/>
      <c r="E7" s="72" t="s">
        <v>121</v>
      </c>
      <c r="F7" s="95" t="s">
        <v>124</v>
      </c>
      <c r="G7" s="30"/>
      <c r="H7" s="72"/>
      <c r="I7" s="72" t="s">
        <v>123</v>
      </c>
      <c r="J7" s="72" t="s">
        <v>115</v>
      </c>
      <c r="K7" s="95" t="s">
        <v>90</v>
      </c>
      <c r="L7" s="72" t="s">
        <v>120</v>
      </c>
      <c r="M7" s="44" t="s">
        <v>125</v>
      </c>
      <c r="N7" s="31"/>
      <c r="O7" s="104" t="s">
        <v>124</v>
      </c>
      <c r="P7" s="104" t="s">
        <v>89</v>
      </c>
      <c r="Q7" s="104" t="s">
        <v>115</v>
      </c>
      <c r="R7" s="99" t="s">
        <v>90</v>
      </c>
      <c r="S7" s="104"/>
      <c r="T7" s="30"/>
      <c r="U7" s="80"/>
      <c r="V7" s="40" t="s">
        <v>91</v>
      </c>
      <c r="W7" s="32" t="s">
        <v>88</v>
      </c>
      <c r="X7" s="35" t="s">
        <v>115</v>
      </c>
      <c r="Y7" s="40" t="s">
        <v>90</v>
      </c>
    </row>
    <row r="8" spans="1:38" ht="9" customHeight="1" x14ac:dyDescent="0.15">
      <c r="A8" s="59"/>
      <c r="B8" s="51">
        <f>B121</f>
        <v>57.070000000000007</v>
      </c>
      <c r="C8" s="91"/>
      <c r="D8" s="88" t="s">
        <v>41</v>
      </c>
      <c r="E8" s="73" t="s">
        <v>40</v>
      </c>
      <c r="F8" s="73"/>
      <c r="G8" s="7"/>
      <c r="H8" s="76"/>
      <c r="I8" s="76"/>
      <c r="J8" s="76"/>
      <c r="K8" s="76"/>
      <c r="L8" s="76"/>
      <c r="M8" s="36"/>
      <c r="N8" s="112"/>
      <c r="O8" s="100"/>
      <c r="P8" s="100"/>
      <c r="Q8" s="100"/>
      <c r="R8" s="100"/>
      <c r="S8" s="105"/>
      <c r="T8" s="48"/>
      <c r="U8" s="79">
        <v>23762972.68</v>
      </c>
      <c r="V8" s="48"/>
      <c r="W8" s="22"/>
      <c r="X8" s="36"/>
      <c r="Y8" s="36"/>
    </row>
    <row r="9" spans="1:38" s="11" customFormat="1" ht="10.5" customHeight="1" x14ac:dyDescent="0.15">
      <c r="A9" s="60" t="s">
        <v>49</v>
      </c>
      <c r="B9" s="52">
        <f>B10+B11+B12+B18</f>
        <v>11.290000000000001</v>
      </c>
      <c r="C9" s="92">
        <f t="shared" ref="C9:C18" si="0">D9/1000</f>
        <v>5008.4700051463105</v>
      </c>
      <c r="D9" s="74">
        <f>D10+D11+D12+D18</f>
        <v>5008470.0051463107</v>
      </c>
      <c r="E9" s="74">
        <f>E10+E11+E12+E18</f>
        <v>307506.95</v>
      </c>
      <c r="F9" s="74">
        <f t="shared" ref="F9:F18" si="1">H9/1000</f>
        <v>4462.9139999999998</v>
      </c>
      <c r="G9" s="25">
        <f>G10+G11+G12+G18</f>
        <v>246200</v>
      </c>
      <c r="H9" s="74">
        <f>H10+H11+H12+H18</f>
        <v>4462914</v>
      </c>
      <c r="I9" s="74">
        <f>I10+I11+I12+I18</f>
        <v>492400</v>
      </c>
      <c r="J9" s="74">
        <f>J10+J11+J12+J18</f>
        <v>0</v>
      </c>
      <c r="K9" s="74">
        <f t="shared" ref="K9:K18" si="2">L9/1000</f>
        <v>5950.5519999999997</v>
      </c>
      <c r="L9" s="74">
        <f>L10+L11+L12+L18</f>
        <v>5950552</v>
      </c>
      <c r="M9" s="25">
        <f t="shared" ref="M9:M18" si="3">N9/1000*-1</f>
        <v>0</v>
      </c>
      <c r="N9" s="25">
        <f>N10+N11+N12+N18</f>
        <v>0</v>
      </c>
      <c r="O9" s="101">
        <f t="shared" ref="O9:O18" si="4">P9/1000*-1</f>
        <v>0</v>
      </c>
      <c r="P9" s="101">
        <f>P10+P11+P12+P18</f>
        <v>0</v>
      </c>
      <c r="Q9" s="101">
        <v>0</v>
      </c>
      <c r="R9" s="101">
        <f t="shared" ref="R9:R18" si="5">S9/1000*-1</f>
        <v>0</v>
      </c>
      <c r="S9" s="101">
        <f>S10+S11+S12+S18</f>
        <v>0</v>
      </c>
      <c r="T9" s="25">
        <f>T10+T11+T12+T18</f>
        <v>0</v>
      </c>
      <c r="U9" s="81">
        <f>U10+U11+U12+U18</f>
        <v>4700963.0551463105</v>
      </c>
      <c r="V9" s="24">
        <f t="shared" ref="V9:V18" si="6">C9+M9</f>
        <v>5008.4700051463105</v>
      </c>
      <c r="W9" s="24">
        <f t="shared" ref="W9:W18" si="7">F9+O9</f>
        <v>4462.9139999999998</v>
      </c>
      <c r="X9" s="24">
        <f t="shared" ref="X9:X18" si="8">J9+Q9</f>
        <v>0</v>
      </c>
      <c r="Y9" s="25">
        <f t="shared" ref="Y9:Y18" si="9">K9+R9</f>
        <v>5950.5519999999997</v>
      </c>
    </row>
    <row r="10" spans="1:38" ht="9.9499999999999993" customHeight="1" x14ac:dyDescent="0.15">
      <c r="A10" s="61" t="s">
        <v>50</v>
      </c>
      <c r="B10" s="49">
        <v>5.18</v>
      </c>
      <c r="C10" s="92">
        <f t="shared" si="0"/>
        <v>2287.1714743718235</v>
      </c>
      <c r="D10" s="74">
        <f t="shared" ref="D10:D18" si="10">E10+U10</f>
        <v>2287171.4743718235</v>
      </c>
      <c r="E10" s="75">
        <v>130308</v>
      </c>
      <c r="F10" s="74">
        <f t="shared" si="1"/>
        <v>2013.20325</v>
      </c>
      <c r="G10" s="3">
        <f t="shared" ref="G10:G18" si="11">I10/2</f>
        <v>90000</v>
      </c>
      <c r="H10" s="75">
        <f>L10*0.75</f>
        <v>2013203.25</v>
      </c>
      <c r="I10" s="75">
        <v>180000</v>
      </c>
      <c r="J10" s="75"/>
      <c r="K10" s="74">
        <f t="shared" si="2"/>
        <v>2684.2710000000002</v>
      </c>
      <c r="L10" s="75">
        <v>2684271</v>
      </c>
      <c r="M10" s="41">
        <f t="shared" si="3"/>
        <v>0</v>
      </c>
      <c r="N10" s="9"/>
      <c r="O10" s="101">
        <f t="shared" si="4"/>
        <v>0</v>
      </c>
      <c r="P10" s="106">
        <f t="shared" ref="P10:P18" si="12">S10/2</f>
        <v>0</v>
      </c>
      <c r="Q10" s="106">
        <v>0</v>
      </c>
      <c r="R10" s="101">
        <f t="shared" si="5"/>
        <v>0</v>
      </c>
      <c r="S10" s="106"/>
      <c r="T10" s="3"/>
      <c r="U10" s="82">
        <f>U8/B8*B10</f>
        <v>2156863.4743718235</v>
      </c>
      <c r="V10" s="33">
        <f t="shared" si="6"/>
        <v>2287.1714743718235</v>
      </c>
      <c r="W10" s="9">
        <f t="shared" si="7"/>
        <v>2013.20325</v>
      </c>
      <c r="X10" s="33">
        <f t="shared" si="8"/>
        <v>0</v>
      </c>
      <c r="Y10" s="41">
        <f t="shared" si="9"/>
        <v>2684.2710000000002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9.9499999999999993" customHeight="1" x14ac:dyDescent="0.15">
      <c r="A11" s="61" t="s">
        <v>57</v>
      </c>
      <c r="B11" s="49">
        <v>3.21</v>
      </c>
      <c r="C11" s="92">
        <f t="shared" si="0"/>
        <v>1421.3741414543542</v>
      </c>
      <c r="D11" s="74">
        <f t="shared" si="10"/>
        <v>1421374.1414543542</v>
      </c>
      <c r="E11" s="75">
        <v>84785</v>
      </c>
      <c r="F11" s="74">
        <f t="shared" si="1"/>
        <v>1231.40625</v>
      </c>
      <c r="G11" s="3">
        <f t="shared" si="11"/>
        <v>45000</v>
      </c>
      <c r="H11" s="75">
        <f>L11*0.75</f>
        <v>1231406.25</v>
      </c>
      <c r="I11" s="75">
        <v>90000</v>
      </c>
      <c r="J11" s="75"/>
      <c r="K11" s="74">
        <f t="shared" si="2"/>
        <v>1641.875</v>
      </c>
      <c r="L11" s="75">
        <v>1641875</v>
      </c>
      <c r="M11" s="41">
        <f t="shared" si="3"/>
        <v>0</v>
      </c>
      <c r="N11" s="9"/>
      <c r="O11" s="101">
        <f t="shared" si="4"/>
        <v>0</v>
      </c>
      <c r="P11" s="106">
        <f t="shared" si="12"/>
        <v>0</v>
      </c>
      <c r="Q11" s="106">
        <v>0</v>
      </c>
      <c r="R11" s="101">
        <f t="shared" si="5"/>
        <v>0</v>
      </c>
      <c r="S11" s="106"/>
      <c r="T11" s="3"/>
      <c r="U11" s="82">
        <f>U8/B8*B11</f>
        <v>1336589.1414543542</v>
      </c>
      <c r="V11" s="33">
        <f t="shared" si="6"/>
        <v>1421.3741414543542</v>
      </c>
      <c r="W11" s="9">
        <f t="shared" si="7"/>
        <v>1231.40625</v>
      </c>
      <c r="X11" s="33">
        <f t="shared" si="8"/>
        <v>0</v>
      </c>
      <c r="Y11" s="41">
        <f t="shared" si="9"/>
        <v>1641.875</v>
      </c>
    </row>
    <row r="12" spans="1:38" ht="9.9499999999999993" customHeight="1" x14ac:dyDescent="0.15">
      <c r="A12" s="61" t="s">
        <v>51</v>
      </c>
      <c r="B12" s="49">
        <v>2.8</v>
      </c>
      <c r="C12" s="92">
        <f t="shared" si="0"/>
        <v>1191.8120983090939</v>
      </c>
      <c r="D12" s="74">
        <f t="shared" si="10"/>
        <v>1191812.0983090939</v>
      </c>
      <c r="E12" s="75">
        <f>SUM(E13:E17)</f>
        <v>25939.95</v>
      </c>
      <c r="F12" s="74">
        <f t="shared" si="1"/>
        <v>1182.04575</v>
      </c>
      <c r="G12" s="3">
        <f t="shared" si="11"/>
        <v>111200</v>
      </c>
      <c r="H12" s="75">
        <f>H13+H14+H15+H16+H17</f>
        <v>1182045.75</v>
      </c>
      <c r="I12" s="75">
        <v>222400</v>
      </c>
      <c r="J12" s="75">
        <f>J13+J14+J15+J16+J17</f>
        <v>0</v>
      </c>
      <c r="K12" s="74">
        <f t="shared" si="2"/>
        <v>1576.0609999999999</v>
      </c>
      <c r="L12" s="75">
        <f>L13+L14+L15+L16+L17</f>
        <v>1576061</v>
      </c>
      <c r="M12" s="41">
        <f t="shared" si="3"/>
        <v>0</v>
      </c>
      <c r="N12" s="9">
        <f>N13+N14+N15+N16+N17</f>
        <v>0</v>
      </c>
      <c r="O12" s="101">
        <f t="shared" si="4"/>
        <v>0</v>
      </c>
      <c r="P12" s="106">
        <f t="shared" si="12"/>
        <v>0</v>
      </c>
      <c r="Q12" s="106">
        <v>0</v>
      </c>
      <c r="R12" s="101">
        <f t="shared" si="5"/>
        <v>0</v>
      </c>
      <c r="S12" s="106"/>
      <c r="T12" s="3"/>
      <c r="U12" s="82">
        <f>U8/B8*B12</f>
        <v>1165872.1483090939</v>
      </c>
      <c r="V12" s="33">
        <f t="shared" si="6"/>
        <v>1191.8120983090939</v>
      </c>
      <c r="W12" s="9">
        <f t="shared" si="7"/>
        <v>1182.04575</v>
      </c>
      <c r="X12" s="33">
        <f t="shared" si="8"/>
        <v>0</v>
      </c>
      <c r="Y12" s="41">
        <f t="shared" si="9"/>
        <v>1576.0609999999999</v>
      </c>
    </row>
    <row r="13" spans="1:38" ht="9.9499999999999993" customHeight="1" x14ac:dyDescent="0.15">
      <c r="A13" s="62" t="s">
        <v>52</v>
      </c>
      <c r="B13" s="51">
        <v>1</v>
      </c>
      <c r="C13" s="93">
        <f t="shared" si="0"/>
        <v>417.12186011039068</v>
      </c>
      <c r="D13" s="89">
        <f t="shared" si="10"/>
        <v>417121.8601103907</v>
      </c>
      <c r="E13" s="76">
        <f>438.9+300.05</f>
        <v>738.95</v>
      </c>
      <c r="F13" s="89">
        <f t="shared" si="1"/>
        <v>362.58749999999998</v>
      </c>
      <c r="G13" s="7">
        <f t="shared" si="11"/>
        <v>0</v>
      </c>
      <c r="H13" s="76">
        <f t="shared" ref="H13:H18" si="13">L13*0.75</f>
        <v>362587.5</v>
      </c>
      <c r="I13" s="76"/>
      <c r="J13" s="76"/>
      <c r="K13" s="89">
        <f t="shared" si="2"/>
        <v>483.45</v>
      </c>
      <c r="L13" s="76">
        <v>483450</v>
      </c>
      <c r="M13" s="43">
        <f t="shared" si="3"/>
        <v>0</v>
      </c>
      <c r="N13" s="20"/>
      <c r="O13" s="102">
        <f t="shared" si="4"/>
        <v>0</v>
      </c>
      <c r="P13" s="100">
        <f t="shared" si="12"/>
        <v>0</v>
      </c>
      <c r="Q13" s="100">
        <v>0</v>
      </c>
      <c r="R13" s="102">
        <f t="shared" si="5"/>
        <v>0</v>
      </c>
      <c r="S13" s="100"/>
      <c r="T13" s="7"/>
      <c r="U13" s="83">
        <f>U8/B8*B13</f>
        <v>416382.91011039069</v>
      </c>
      <c r="V13" s="36">
        <f t="shared" si="6"/>
        <v>417.12186011039068</v>
      </c>
      <c r="W13" s="20">
        <f t="shared" si="7"/>
        <v>362.58749999999998</v>
      </c>
      <c r="X13" s="36">
        <f t="shared" si="8"/>
        <v>0</v>
      </c>
      <c r="Y13" s="43">
        <f t="shared" si="9"/>
        <v>483.45</v>
      </c>
    </row>
    <row r="14" spans="1:38" ht="9.9499999999999993" customHeight="1" x14ac:dyDescent="0.15">
      <c r="A14" s="62" t="s">
        <v>44</v>
      </c>
      <c r="B14" s="51">
        <v>0.65</v>
      </c>
      <c r="C14" s="93">
        <f t="shared" si="0"/>
        <v>273.16189157175393</v>
      </c>
      <c r="D14" s="89">
        <f t="shared" si="10"/>
        <v>273161.89157175395</v>
      </c>
      <c r="E14" s="76">
        <f>1592.5+920.5</f>
        <v>2513</v>
      </c>
      <c r="F14" s="89">
        <f t="shared" si="1"/>
        <v>244.98224999999999</v>
      </c>
      <c r="G14" s="7">
        <f t="shared" si="11"/>
        <v>6200</v>
      </c>
      <c r="H14" s="76">
        <f t="shared" si="13"/>
        <v>244982.25</v>
      </c>
      <c r="I14" s="76">
        <v>12400</v>
      </c>
      <c r="J14" s="76"/>
      <c r="K14" s="89">
        <f t="shared" si="2"/>
        <v>326.64299999999997</v>
      </c>
      <c r="L14" s="76">
        <v>326643</v>
      </c>
      <c r="M14" s="43">
        <f t="shared" si="3"/>
        <v>0</v>
      </c>
      <c r="N14" s="20"/>
      <c r="O14" s="102">
        <f t="shared" si="4"/>
        <v>0</v>
      </c>
      <c r="P14" s="100">
        <f t="shared" si="12"/>
        <v>0</v>
      </c>
      <c r="Q14" s="100">
        <v>0</v>
      </c>
      <c r="R14" s="102">
        <f t="shared" si="5"/>
        <v>0</v>
      </c>
      <c r="S14" s="100"/>
      <c r="T14" s="7"/>
      <c r="U14" s="83">
        <f>U8/B8*B14</f>
        <v>270648.89157175395</v>
      </c>
      <c r="V14" s="36">
        <f t="shared" si="6"/>
        <v>273.16189157175393</v>
      </c>
      <c r="W14" s="20">
        <f t="shared" si="7"/>
        <v>244.98224999999999</v>
      </c>
      <c r="X14" s="36">
        <f t="shared" si="8"/>
        <v>0</v>
      </c>
      <c r="Y14" s="43">
        <f t="shared" si="9"/>
        <v>326.64299999999997</v>
      </c>
    </row>
    <row r="15" spans="1:38" ht="9.9499999999999993" customHeight="1" x14ac:dyDescent="0.15">
      <c r="A15" s="62" t="s">
        <v>5</v>
      </c>
      <c r="B15" s="51">
        <v>0.4</v>
      </c>
      <c r="C15" s="93">
        <f t="shared" si="0"/>
        <v>167.23816404415629</v>
      </c>
      <c r="D15" s="89">
        <f t="shared" si="10"/>
        <v>167238.16404415629</v>
      </c>
      <c r="E15" s="76">
        <v>685</v>
      </c>
      <c r="F15" s="89">
        <f t="shared" si="1"/>
        <v>231.285</v>
      </c>
      <c r="G15" s="7">
        <f t="shared" si="11"/>
        <v>57500</v>
      </c>
      <c r="H15" s="76">
        <f t="shared" si="13"/>
        <v>231285</v>
      </c>
      <c r="I15" s="76">
        <v>115000</v>
      </c>
      <c r="J15" s="76"/>
      <c r="K15" s="89">
        <f t="shared" si="2"/>
        <v>308.38</v>
      </c>
      <c r="L15" s="76">
        <v>308380</v>
      </c>
      <c r="M15" s="43">
        <f t="shared" si="3"/>
        <v>0</v>
      </c>
      <c r="N15" s="20"/>
      <c r="O15" s="102">
        <f t="shared" si="4"/>
        <v>0</v>
      </c>
      <c r="P15" s="100">
        <f t="shared" si="12"/>
        <v>0</v>
      </c>
      <c r="Q15" s="100">
        <v>0</v>
      </c>
      <c r="R15" s="102">
        <f t="shared" si="5"/>
        <v>0</v>
      </c>
      <c r="S15" s="100"/>
      <c r="T15" s="7"/>
      <c r="U15" s="83">
        <f>U8/B8*B15</f>
        <v>166553.16404415629</v>
      </c>
      <c r="V15" s="36">
        <f t="shared" si="6"/>
        <v>167.23816404415629</v>
      </c>
      <c r="W15" s="20">
        <f t="shared" si="7"/>
        <v>231.285</v>
      </c>
      <c r="X15" s="36">
        <f t="shared" si="8"/>
        <v>0</v>
      </c>
      <c r="Y15" s="43">
        <f t="shared" si="9"/>
        <v>308.38</v>
      </c>
      <c r="Z15" s="11"/>
    </row>
    <row r="16" spans="1:38" ht="9.9499999999999993" customHeight="1" x14ac:dyDescent="0.15">
      <c r="A16" s="62" t="s">
        <v>45</v>
      </c>
      <c r="B16" s="51">
        <v>0.4</v>
      </c>
      <c r="C16" s="93">
        <f t="shared" si="0"/>
        <v>167.73116404415629</v>
      </c>
      <c r="D16" s="89">
        <f t="shared" si="10"/>
        <v>167731.16404415629</v>
      </c>
      <c r="E16" s="76">
        <v>1178</v>
      </c>
      <c r="F16" s="89">
        <f t="shared" si="1"/>
        <v>216.285</v>
      </c>
      <c r="G16" s="7">
        <f t="shared" si="11"/>
        <v>47500</v>
      </c>
      <c r="H16" s="76">
        <f t="shared" si="13"/>
        <v>216285</v>
      </c>
      <c r="I16" s="76">
        <v>95000</v>
      </c>
      <c r="J16" s="76"/>
      <c r="K16" s="89">
        <f t="shared" si="2"/>
        <v>288.38</v>
      </c>
      <c r="L16" s="76">
        <v>288380</v>
      </c>
      <c r="M16" s="43">
        <f t="shared" si="3"/>
        <v>0</v>
      </c>
      <c r="N16" s="20"/>
      <c r="O16" s="102">
        <f t="shared" si="4"/>
        <v>0</v>
      </c>
      <c r="P16" s="100">
        <f t="shared" si="12"/>
        <v>0</v>
      </c>
      <c r="Q16" s="100">
        <v>0</v>
      </c>
      <c r="R16" s="102">
        <f t="shared" si="5"/>
        <v>0</v>
      </c>
      <c r="S16" s="100"/>
      <c r="T16" s="7"/>
      <c r="U16" s="83">
        <f>U8/B8*B16</f>
        <v>166553.16404415629</v>
      </c>
      <c r="V16" s="36">
        <f t="shared" si="6"/>
        <v>167.73116404415629</v>
      </c>
      <c r="W16" s="20">
        <f t="shared" si="7"/>
        <v>216.285</v>
      </c>
      <c r="X16" s="36">
        <f t="shared" si="8"/>
        <v>0</v>
      </c>
      <c r="Y16" s="43">
        <f t="shared" si="9"/>
        <v>288.38</v>
      </c>
    </row>
    <row r="17" spans="1:38" ht="9.9499999999999993" customHeight="1" x14ac:dyDescent="0.15">
      <c r="A17" s="62" t="s">
        <v>46</v>
      </c>
      <c r="B17" s="51">
        <v>0.35</v>
      </c>
      <c r="C17" s="93">
        <f t="shared" si="0"/>
        <v>166.55901853863674</v>
      </c>
      <c r="D17" s="89">
        <f t="shared" si="10"/>
        <v>166559.01853863674</v>
      </c>
      <c r="E17" s="76">
        <v>20825</v>
      </c>
      <c r="F17" s="89">
        <f t="shared" si="1"/>
        <v>126.90600000000001</v>
      </c>
      <c r="G17" s="7">
        <f t="shared" si="11"/>
        <v>0</v>
      </c>
      <c r="H17" s="76">
        <f t="shared" si="13"/>
        <v>126906</v>
      </c>
      <c r="I17" s="76">
        <v>0</v>
      </c>
      <c r="J17" s="76"/>
      <c r="K17" s="89">
        <f t="shared" si="2"/>
        <v>169.208</v>
      </c>
      <c r="L17" s="76">
        <v>169208</v>
      </c>
      <c r="M17" s="43">
        <f t="shared" si="3"/>
        <v>0</v>
      </c>
      <c r="N17" s="20"/>
      <c r="O17" s="102">
        <f t="shared" si="4"/>
        <v>0</v>
      </c>
      <c r="P17" s="100">
        <f t="shared" si="12"/>
        <v>0</v>
      </c>
      <c r="Q17" s="100">
        <v>0</v>
      </c>
      <c r="R17" s="102">
        <f t="shared" si="5"/>
        <v>0</v>
      </c>
      <c r="S17" s="100"/>
      <c r="T17" s="7"/>
      <c r="U17" s="83">
        <f>U8/B8*B17</f>
        <v>145734.01853863674</v>
      </c>
      <c r="V17" s="36">
        <f t="shared" si="6"/>
        <v>166.55901853863674</v>
      </c>
      <c r="W17" s="20">
        <f t="shared" si="7"/>
        <v>126.90600000000001</v>
      </c>
      <c r="X17" s="36">
        <f t="shared" si="8"/>
        <v>0</v>
      </c>
      <c r="Y17" s="43">
        <f t="shared" si="9"/>
        <v>169.208</v>
      </c>
    </row>
    <row r="18" spans="1:38" s="5" customFormat="1" ht="9.9499999999999993" customHeight="1" x14ac:dyDescent="0.15">
      <c r="A18" s="61" t="s">
        <v>58</v>
      </c>
      <c r="B18" s="49">
        <v>0.1</v>
      </c>
      <c r="C18" s="92">
        <f t="shared" si="0"/>
        <v>108.11229101103908</v>
      </c>
      <c r="D18" s="74">
        <f t="shared" si="10"/>
        <v>108112.29101103908</v>
      </c>
      <c r="E18" s="75">
        <f>44726+21748</f>
        <v>66474</v>
      </c>
      <c r="F18" s="74">
        <f t="shared" si="1"/>
        <v>36.258749999999999</v>
      </c>
      <c r="G18" s="3">
        <f t="shared" si="11"/>
        <v>0</v>
      </c>
      <c r="H18" s="75">
        <f t="shared" si="13"/>
        <v>36258.75</v>
      </c>
      <c r="I18" s="75">
        <v>0</v>
      </c>
      <c r="J18" s="75"/>
      <c r="K18" s="74">
        <f t="shared" si="2"/>
        <v>48.344999999999999</v>
      </c>
      <c r="L18" s="75">
        <v>48345</v>
      </c>
      <c r="M18" s="41">
        <f t="shared" si="3"/>
        <v>0</v>
      </c>
      <c r="N18" s="9"/>
      <c r="O18" s="101">
        <f t="shared" si="4"/>
        <v>0</v>
      </c>
      <c r="P18" s="106">
        <f t="shared" si="12"/>
        <v>0</v>
      </c>
      <c r="Q18" s="106">
        <v>0</v>
      </c>
      <c r="R18" s="101">
        <f t="shared" si="5"/>
        <v>0</v>
      </c>
      <c r="S18" s="106"/>
      <c r="T18" s="3"/>
      <c r="U18" s="82">
        <f>U8/B8*B18</f>
        <v>41638.291011039073</v>
      </c>
      <c r="V18" s="33">
        <f t="shared" si="6"/>
        <v>108.11229101103908</v>
      </c>
      <c r="W18" s="9">
        <f t="shared" si="7"/>
        <v>36.258749999999999</v>
      </c>
      <c r="X18" s="33">
        <f t="shared" si="8"/>
        <v>0</v>
      </c>
      <c r="Y18" s="41">
        <f t="shared" si="9"/>
        <v>48.344999999999999</v>
      </c>
    </row>
    <row r="19" spans="1:38" ht="9" customHeight="1" x14ac:dyDescent="0.15">
      <c r="A19" s="63"/>
      <c r="B19" s="49"/>
      <c r="C19" s="92"/>
      <c r="D19" s="74"/>
      <c r="E19" s="75"/>
      <c r="F19" s="74"/>
      <c r="G19" s="3"/>
      <c r="H19" s="75"/>
      <c r="I19" s="75"/>
      <c r="J19" s="75"/>
      <c r="K19" s="74"/>
      <c r="L19" s="75"/>
      <c r="M19" s="43"/>
      <c r="N19" s="20"/>
      <c r="O19" s="102"/>
      <c r="P19" s="100"/>
      <c r="Q19" s="100"/>
      <c r="R19" s="102"/>
      <c r="S19" s="106"/>
      <c r="T19" s="3"/>
      <c r="U19" s="83"/>
      <c r="V19" s="36"/>
      <c r="W19" s="20"/>
      <c r="X19" s="36"/>
      <c r="Y19" s="41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s="12" customFormat="1" x14ac:dyDescent="0.15">
      <c r="A20" s="60" t="s">
        <v>48</v>
      </c>
      <c r="B20" s="52">
        <f>B21+B28+B31+B36+B42+B46+B49+B67+B53</f>
        <v>15.420000000000002</v>
      </c>
      <c r="C20" s="92">
        <f t="shared" ref="C20:C51" si="14">D20/1000</f>
        <v>11929.878723902224</v>
      </c>
      <c r="D20" s="74">
        <f>D21+D28+D31+D36+D42+D46+D49+D67+D53</f>
        <v>11929878.723902224</v>
      </c>
      <c r="E20" s="74">
        <f>E21+E28+E31+E36+E42+E46+E49+E67+E53</f>
        <v>5509254.25</v>
      </c>
      <c r="F20" s="74">
        <f t="shared" ref="F20:F51" si="15">H20/1000</f>
        <v>14648.670749999999</v>
      </c>
      <c r="G20" s="25">
        <f>G21+G28+G31+G36+G42+G46+G49+G67+G53</f>
        <v>4617719</v>
      </c>
      <c r="H20" s="74">
        <f>H21+H28+H31+H36+H42+H46+H49+H67+H53</f>
        <v>14648670.75</v>
      </c>
      <c r="I20" s="74">
        <f>I21+I28+I31+I36+I42+I46+I49+I67+I53</f>
        <v>10076754</v>
      </c>
      <c r="J20" s="74">
        <f>J21+J28+J31+J36+J42+J46+J49+J53+J67</f>
        <v>0</v>
      </c>
      <c r="K20" s="74">
        <f t="shared" ref="K20:K51" si="16">L20/1000</f>
        <v>19531.561000000002</v>
      </c>
      <c r="L20" s="96">
        <f>L21+L28+L31+L36+L42+L46+L49+L67+L53</f>
        <v>19531561</v>
      </c>
      <c r="M20" s="25">
        <f t="shared" ref="M20:M51" si="17">N20/1000*-1</f>
        <v>-4456.8</v>
      </c>
      <c r="N20" s="25">
        <f>N21+N28+N31+N36+N42+N46+N49+N67+N53</f>
        <v>4456800</v>
      </c>
      <c r="O20" s="101">
        <f t="shared" ref="O20:O51" si="18">P20/1000*-1</f>
        <v>-8582.625</v>
      </c>
      <c r="P20" s="101">
        <f>P21+P28+P31+P36+P42+P46+P49+P67+P53</f>
        <v>8582625</v>
      </c>
      <c r="Q20" s="101">
        <f>Q21+Q28+Q31+Q36+Q42+Q49+Q53+Q67</f>
        <v>0</v>
      </c>
      <c r="R20" s="101">
        <f t="shared" ref="R20:R51" si="19">S20/1000*-1</f>
        <v>-11443.5</v>
      </c>
      <c r="S20" s="107">
        <f>S21+S28+S31+S36+S42+S46+S49+S67+S53</f>
        <v>11443500</v>
      </c>
      <c r="T20" s="10">
        <f>T21+T28+T31+T36+T42+T46+T49+T67+T53</f>
        <v>2485820</v>
      </c>
      <c r="U20" s="79"/>
      <c r="V20" s="24">
        <f t="shared" ref="V20:V51" si="20">C20+M20</f>
        <v>7473.0787239022238</v>
      </c>
      <c r="W20" s="24">
        <f t="shared" ref="W20:W51" si="21">F20+O20</f>
        <v>6066.0457499999993</v>
      </c>
      <c r="X20" s="24">
        <f t="shared" ref="X20:X51" si="22">J20+Q20</f>
        <v>0</v>
      </c>
      <c r="Y20" s="25">
        <f t="shared" ref="Y20:Y51" si="23">K20+R20</f>
        <v>8088.0610000000015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s="4" customFormat="1" ht="9.9499999999999993" customHeight="1" x14ac:dyDescent="0.15">
      <c r="A21" s="61" t="s">
        <v>53</v>
      </c>
      <c r="B21" s="49">
        <f>SUM(B22:B27)</f>
        <v>2.0499999999999998</v>
      </c>
      <c r="C21" s="92">
        <f t="shared" si="14"/>
        <v>1011.8108557263008</v>
      </c>
      <c r="D21" s="74">
        <f t="shared" ref="D21:D52" si="24">E21+U21</f>
        <v>1011810.8557263009</v>
      </c>
      <c r="E21" s="75">
        <f>SUM(E22:E27)</f>
        <v>158225.89000000001</v>
      </c>
      <c r="F21" s="74">
        <f t="shared" si="15"/>
        <v>1075.5135</v>
      </c>
      <c r="G21" s="3">
        <f>I21/2</f>
        <v>221472</v>
      </c>
      <c r="H21" s="75">
        <f t="shared" ref="H21:H52" si="25">L21*0.75</f>
        <v>1075513.5</v>
      </c>
      <c r="I21" s="75">
        <v>442944</v>
      </c>
      <c r="J21" s="75">
        <f>J22+J23+J24+J25+J26+J27</f>
        <v>0</v>
      </c>
      <c r="K21" s="74">
        <f t="shared" si="16"/>
        <v>1434.018</v>
      </c>
      <c r="L21" s="75">
        <f>SUM(L22:L27)</f>
        <v>1434018</v>
      </c>
      <c r="M21" s="41">
        <f t="shared" si="17"/>
        <v>0</v>
      </c>
      <c r="N21" s="9"/>
      <c r="O21" s="101">
        <f t="shared" si="18"/>
        <v>-37.5</v>
      </c>
      <c r="P21" s="106">
        <f>S21*0.75</f>
        <v>37500</v>
      </c>
      <c r="Q21" s="106">
        <v>0</v>
      </c>
      <c r="R21" s="101">
        <f t="shared" si="19"/>
        <v>-50</v>
      </c>
      <c r="S21" s="106">
        <v>50000</v>
      </c>
      <c r="T21" s="3"/>
      <c r="U21" s="83">
        <f>U8/B8*B21</f>
        <v>853584.96572630084</v>
      </c>
      <c r="V21" s="33">
        <f t="shared" si="20"/>
        <v>1011.8108557263008</v>
      </c>
      <c r="W21" s="9">
        <f t="shared" si="21"/>
        <v>1038.0135</v>
      </c>
      <c r="X21" s="33">
        <f t="shared" si="22"/>
        <v>0</v>
      </c>
      <c r="Y21" s="41">
        <f t="shared" si="23"/>
        <v>1384.018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4" customFormat="1" ht="9.9499999999999993" customHeight="1" x14ac:dyDescent="0.15">
      <c r="A22" s="62" t="s">
        <v>47</v>
      </c>
      <c r="B22" s="51">
        <v>0.75</v>
      </c>
      <c r="C22" s="93">
        <f t="shared" si="14"/>
        <v>321.48418258279298</v>
      </c>
      <c r="D22" s="89">
        <f t="shared" si="24"/>
        <v>321484.182582793</v>
      </c>
      <c r="E22" s="76">
        <v>9197</v>
      </c>
      <c r="F22" s="89">
        <f t="shared" si="15"/>
        <v>316.94099999999997</v>
      </c>
      <c r="G22" s="7">
        <f>I22/2</f>
        <v>30000</v>
      </c>
      <c r="H22" s="76">
        <f t="shared" si="25"/>
        <v>316941</v>
      </c>
      <c r="I22" s="76">
        <v>60000</v>
      </c>
      <c r="J22" s="76"/>
      <c r="K22" s="89">
        <f t="shared" si="16"/>
        <v>422.58800000000002</v>
      </c>
      <c r="L22" s="76">
        <v>422588</v>
      </c>
      <c r="M22" s="43">
        <f t="shared" si="17"/>
        <v>0</v>
      </c>
      <c r="N22" s="20"/>
      <c r="O22" s="102">
        <f t="shared" si="18"/>
        <v>0</v>
      </c>
      <c r="P22" s="106">
        <f t="shared" ref="P22:P27" si="26">S22*0.75</f>
        <v>0</v>
      </c>
      <c r="Q22" s="100">
        <v>0</v>
      </c>
      <c r="R22" s="102">
        <f t="shared" si="19"/>
        <v>0</v>
      </c>
      <c r="S22" s="100"/>
      <c r="T22" s="7"/>
      <c r="U22" s="83">
        <f>U8/B8*B22</f>
        <v>312287.182582793</v>
      </c>
      <c r="V22" s="36">
        <f t="shared" si="20"/>
        <v>321.48418258279298</v>
      </c>
      <c r="W22" s="20">
        <f t="shared" si="21"/>
        <v>316.94099999999997</v>
      </c>
      <c r="X22" s="36">
        <f t="shared" si="22"/>
        <v>0</v>
      </c>
      <c r="Y22" s="43">
        <f t="shared" si="23"/>
        <v>422.58800000000002</v>
      </c>
    </row>
    <row r="23" spans="1:38" s="4" customFormat="1" ht="9.9499999999999993" customHeight="1" x14ac:dyDescent="0.15">
      <c r="A23" s="62" t="s">
        <v>0</v>
      </c>
      <c r="B23" s="51">
        <v>0.1</v>
      </c>
      <c r="C23" s="93">
        <f t="shared" si="14"/>
        <v>116.59518101103906</v>
      </c>
      <c r="D23" s="89">
        <f t="shared" si="24"/>
        <v>116595.18101103907</v>
      </c>
      <c r="E23" s="76">
        <f>1178+31873+41905.89</f>
        <v>74956.89</v>
      </c>
      <c r="F23" s="89">
        <f t="shared" si="15"/>
        <v>105.74175</v>
      </c>
      <c r="G23" s="7">
        <f>I23/2</f>
        <v>46322</v>
      </c>
      <c r="H23" s="76">
        <f t="shared" si="25"/>
        <v>105741.75</v>
      </c>
      <c r="I23" s="76">
        <v>92644</v>
      </c>
      <c r="J23" s="76"/>
      <c r="K23" s="89">
        <f t="shared" si="16"/>
        <v>140.989</v>
      </c>
      <c r="L23" s="76">
        <v>140989</v>
      </c>
      <c r="M23" s="43">
        <f t="shared" si="17"/>
        <v>0</v>
      </c>
      <c r="N23" s="20"/>
      <c r="O23" s="102">
        <f t="shared" si="18"/>
        <v>0</v>
      </c>
      <c r="P23" s="106">
        <f t="shared" si="26"/>
        <v>0</v>
      </c>
      <c r="Q23" s="100">
        <v>0</v>
      </c>
      <c r="R23" s="102">
        <f t="shared" si="19"/>
        <v>0</v>
      </c>
      <c r="S23" s="100"/>
      <c r="T23" s="7"/>
      <c r="U23" s="83">
        <f>U8/B8*B23</f>
        <v>41638.291011039073</v>
      </c>
      <c r="V23" s="36">
        <f t="shared" si="20"/>
        <v>116.59518101103906</v>
      </c>
      <c r="W23" s="20">
        <f t="shared" si="21"/>
        <v>105.74175</v>
      </c>
      <c r="X23" s="36">
        <f t="shared" si="22"/>
        <v>0</v>
      </c>
      <c r="Y23" s="43">
        <f t="shared" si="23"/>
        <v>140.989</v>
      </c>
    </row>
    <row r="24" spans="1:38" s="4" customFormat="1" ht="9.9499999999999993" customHeight="1" x14ac:dyDescent="0.15">
      <c r="A24" s="62" t="s">
        <v>1</v>
      </c>
      <c r="B24" s="51">
        <v>0.05</v>
      </c>
      <c r="C24" s="93">
        <f t="shared" si="14"/>
        <v>38.158145505519542</v>
      </c>
      <c r="D24" s="89">
        <f t="shared" si="24"/>
        <v>38158.14550551954</v>
      </c>
      <c r="E24" s="76">
        <v>17339</v>
      </c>
      <c r="F24" s="89">
        <f t="shared" si="15"/>
        <v>18.129750000000001</v>
      </c>
      <c r="G24" s="7"/>
      <c r="H24" s="76">
        <f t="shared" si="25"/>
        <v>18129.75</v>
      </c>
      <c r="I24" s="76"/>
      <c r="J24" s="76"/>
      <c r="K24" s="89">
        <f t="shared" si="16"/>
        <v>24.172999999999998</v>
      </c>
      <c r="L24" s="76">
        <v>24173</v>
      </c>
      <c r="M24" s="43">
        <f t="shared" si="17"/>
        <v>0</v>
      </c>
      <c r="N24" s="20"/>
      <c r="O24" s="102">
        <f t="shared" si="18"/>
        <v>0</v>
      </c>
      <c r="P24" s="106">
        <f t="shared" si="26"/>
        <v>0</v>
      </c>
      <c r="Q24" s="100">
        <v>0</v>
      </c>
      <c r="R24" s="102">
        <f t="shared" si="19"/>
        <v>0</v>
      </c>
      <c r="S24" s="100"/>
      <c r="T24" s="7"/>
      <c r="U24" s="83">
        <f>U8/B8*B24</f>
        <v>20819.145505519537</v>
      </c>
      <c r="V24" s="36">
        <f t="shared" si="20"/>
        <v>38.158145505519542</v>
      </c>
      <c r="W24" s="20">
        <f t="shared" si="21"/>
        <v>18.129750000000001</v>
      </c>
      <c r="X24" s="36">
        <f t="shared" si="22"/>
        <v>0</v>
      </c>
      <c r="Y24" s="43">
        <f t="shared" si="23"/>
        <v>24.172999999999998</v>
      </c>
    </row>
    <row r="25" spans="1:38" s="4" customFormat="1" ht="9.9499999999999993" customHeight="1" x14ac:dyDescent="0.15">
      <c r="A25" s="62" t="s">
        <v>2</v>
      </c>
      <c r="B25" s="51">
        <v>0.25</v>
      </c>
      <c r="C25" s="93">
        <f t="shared" si="14"/>
        <v>104.57872752759768</v>
      </c>
      <c r="D25" s="89">
        <f t="shared" si="24"/>
        <v>104578.72752759767</v>
      </c>
      <c r="E25" s="76">
        <v>483</v>
      </c>
      <c r="F25" s="89">
        <f t="shared" si="15"/>
        <v>143.74725000000001</v>
      </c>
      <c r="G25" s="7">
        <f>I25/2</f>
        <v>35400</v>
      </c>
      <c r="H25" s="76">
        <f t="shared" si="25"/>
        <v>143747.25</v>
      </c>
      <c r="I25" s="76">
        <v>70800</v>
      </c>
      <c r="J25" s="76"/>
      <c r="K25" s="89">
        <f t="shared" si="16"/>
        <v>191.66300000000001</v>
      </c>
      <c r="L25" s="76">
        <v>191663</v>
      </c>
      <c r="M25" s="43">
        <f t="shared" si="17"/>
        <v>0</v>
      </c>
      <c r="N25" s="20"/>
      <c r="O25" s="102">
        <f t="shared" si="18"/>
        <v>0</v>
      </c>
      <c r="P25" s="106">
        <f t="shared" si="26"/>
        <v>0</v>
      </c>
      <c r="Q25" s="100">
        <v>0</v>
      </c>
      <c r="R25" s="102">
        <f t="shared" si="19"/>
        <v>0</v>
      </c>
      <c r="S25" s="100"/>
      <c r="T25" s="7"/>
      <c r="U25" s="83">
        <f>U8/B8*B25</f>
        <v>104095.72752759767</v>
      </c>
      <c r="V25" s="36">
        <f t="shared" si="20"/>
        <v>104.57872752759768</v>
      </c>
      <c r="W25" s="20">
        <f t="shared" si="21"/>
        <v>143.74725000000001</v>
      </c>
      <c r="X25" s="36">
        <f t="shared" si="22"/>
        <v>0</v>
      </c>
      <c r="Y25" s="43">
        <f t="shared" si="23"/>
        <v>191.66300000000001</v>
      </c>
    </row>
    <row r="26" spans="1:38" s="4" customFormat="1" ht="9.9499999999999993" customHeight="1" x14ac:dyDescent="0.15">
      <c r="A26" s="62" t="s">
        <v>3</v>
      </c>
      <c r="B26" s="51">
        <v>0.3</v>
      </c>
      <c r="C26" s="93">
        <f t="shared" si="14"/>
        <v>175.3428730331172</v>
      </c>
      <c r="D26" s="89">
        <f t="shared" si="24"/>
        <v>175342.87303311721</v>
      </c>
      <c r="E26" s="76">
        <v>50428</v>
      </c>
      <c r="F26" s="89">
        <f t="shared" si="15"/>
        <v>243.77625</v>
      </c>
      <c r="G26" s="7">
        <f>I26/2</f>
        <v>90000</v>
      </c>
      <c r="H26" s="76">
        <f t="shared" si="25"/>
        <v>243776.25</v>
      </c>
      <c r="I26" s="76">
        <v>180000</v>
      </c>
      <c r="J26" s="76"/>
      <c r="K26" s="89">
        <f t="shared" si="16"/>
        <v>325.03500000000003</v>
      </c>
      <c r="L26" s="76">
        <v>325035</v>
      </c>
      <c r="M26" s="43">
        <f t="shared" si="17"/>
        <v>0</v>
      </c>
      <c r="N26" s="20"/>
      <c r="O26" s="102">
        <f t="shared" si="18"/>
        <v>-37.5</v>
      </c>
      <c r="P26" s="106">
        <f t="shared" si="26"/>
        <v>37500</v>
      </c>
      <c r="Q26" s="100">
        <v>0</v>
      </c>
      <c r="R26" s="102">
        <f t="shared" si="19"/>
        <v>-50</v>
      </c>
      <c r="S26" s="100">
        <v>50000</v>
      </c>
      <c r="T26" s="7"/>
      <c r="U26" s="83">
        <f>U8/B8*B26</f>
        <v>124914.8730331172</v>
      </c>
      <c r="V26" s="36">
        <f t="shared" si="20"/>
        <v>175.3428730331172</v>
      </c>
      <c r="W26" s="20">
        <f t="shared" si="21"/>
        <v>206.27625</v>
      </c>
      <c r="X26" s="36">
        <f t="shared" si="22"/>
        <v>0</v>
      </c>
      <c r="Y26" s="43">
        <f t="shared" si="23"/>
        <v>275.03500000000003</v>
      </c>
    </row>
    <row r="27" spans="1:38" s="4" customFormat="1" ht="9.9499999999999993" customHeight="1" x14ac:dyDescent="0.15">
      <c r="A27" s="62" t="s">
        <v>4</v>
      </c>
      <c r="B27" s="51">
        <v>0.6</v>
      </c>
      <c r="C27" s="93">
        <f t="shared" si="14"/>
        <v>255.65174606623438</v>
      </c>
      <c r="D27" s="89">
        <f t="shared" si="24"/>
        <v>255651.74606623439</v>
      </c>
      <c r="E27" s="76">
        <v>5822</v>
      </c>
      <c r="F27" s="89">
        <f t="shared" si="15"/>
        <v>247.17750000000001</v>
      </c>
      <c r="G27" s="7">
        <f>I27/2</f>
        <v>19750</v>
      </c>
      <c r="H27" s="76">
        <f t="shared" si="25"/>
        <v>247177.5</v>
      </c>
      <c r="I27" s="76">
        <v>39500</v>
      </c>
      <c r="J27" s="76"/>
      <c r="K27" s="89">
        <f t="shared" si="16"/>
        <v>329.57</v>
      </c>
      <c r="L27" s="76">
        <v>329570</v>
      </c>
      <c r="M27" s="43">
        <f t="shared" si="17"/>
        <v>0</v>
      </c>
      <c r="N27" s="20"/>
      <c r="O27" s="102">
        <f t="shared" si="18"/>
        <v>0</v>
      </c>
      <c r="P27" s="106">
        <f t="shared" si="26"/>
        <v>0</v>
      </c>
      <c r="Q27" s="100">
        <v>0</v>
      </c>
      <c r="R27" s="102">
        <f t="shared" si="19"/>
        <v>0</v>
      </c>
      <c r="S27" s="100"/>
      <c r="T27" s="7"/>
      <c r="U27" s="83">
        <f>U8/B8*B27</f>
        <v>249829.74606623439</v>
      </c>
      <c r="V27" s="36">
        <f t="shared" si="20"/>
        <v>255.65174606623438</v>
      </c>
      <c r="W27" s="20">
        <f t="shared" si="21"/>
        <v>247.17750000000001</v>
      </c>
      <c r="X27" s="36">
        <f t="shared" si="22"/>
        <v>0</v>
      </c>
      <c r="Y27" s="43">
        <f t="shared" si="23"/>
        <v>329.57</v>
      </c>
    </row>
    <row r="28" spans="1:38" s="8" customFormat="1" ht="9.9499999999999993" customHeight="1" x14ac:dyDescent="0.15">
      <c r="A28" s="61" t="s">
        <v>55</v>
      </c>
      <c r="B28" s="49">
        <f>SUM(B29:B30)</f>
        <v>0.45</v>
      </c>
      <c r="C28" s="92">
        <f t="shared" si="14"/>
        <v>241.18724954967581</v>
      </c>
      <c r="D28" s="74">
        <f t="shared" si="24"/>
        <v>241187.24954967582</v>
      </c>
      <c r="E28" s="75">
        <f>SUM(E29:E30)</f>
        <v>53814.94</v>
      </c>
      <c r="F28" s="74">
        <f t="shared" si="15"/>
        <v>943.16475000000003</v>
      </c>
      <c r="G28" s="3">
        <f>I28/2</f>
        <v>20000</v>
      </c>
      <c r="H28" s="75">
        <f t="shared" si="25"/>
        <v>943164.75</v>
      </c>
      <c r="I28" s="75">
        <v>40000</v>
      </c>
      <c r="J28" s="75">
        <f>J29+J30</f>
        <v>0</v>
      </c>
      <c r="K28" s="74">
        <f t="shared" si="16"/>
        <v>1257.5530000000001</v>
      </c>
      <c r="L28" s="75">
        <f>SUM(L29:L30)</f>
        <v>1257553</v>
      </c>
      <c r="M28" s="41">
        <f t="shared" si="17"/>
        <v>0</v>
      </c>
      <c r="N28" s="9">
        <f>N29+N30</f>
        <v>0</v>
      </c>
      <c r="O28" s="101">
        <f t="shared" si="18"/>
        <v>-750</v>
      </c>
      <c r="P28" s="106">
        <f>P29+P30</f>
        <v>750000</v>
      </c>
      <c r="Q28" s="106">
        <v>0</v>
      </c>
      <c r="R28" s="101">
        <f t="shared" si="19"/>
        <v>-1000</v>
      </c>
      <c r="S28" s="106">
        <v>1000000</v>
      </c>
      <c r="T28" s="3"/>
      <c r="U28" s="82">
        <f>U8/B8*B28</f>
        <v>187372.30954967582</v>
      </c>
      <c r="V28" s="33">
        <f t="shared" si="20"/>
        <v>241.18724954967581</v>
      </c>
      <c r="W28" s="9">
        <f t="shared" si="21"/>
        <v>193.16475000000003</v>
      </c>
      <c r="X28" s="33">
        <f t="shared" si="22"/>
        <v>0</v>
      </c>
      <c r="Y28" s="41">
        <f t="shared" si="23"/>
        <v>257.55300000000011</v>
      </c>
    </row>
    <row r="29" spans="1:38" s="4" customFormat="1" ht="9.9499999999999993" customHeight="1" x14ac:dyDescent="0.15">
      <c r="A29" s="62" t="s">
        <v>92</v>
      </c>
      <c r="B29" s="51">
        <v>0.4</v>
      </c>
      <c r="C29" s="93">
        <f t="shared" si="14"/>
        <v>176.28810404415628</v>
      </c>
      <c r="D29" s="89">
        <f t="shared" si="24"/>
        <v>176288.10404415629</v>
      </c>
      <c r="E29" s="76">
        <v>9734.94</v>
      </c>
      <c r="F29" s="89">
        <f t="shared" si="15"/>
        <v>175.035</v>
      </c>
      <c r="G29" s="7">
        <v>20000</v>
      </c>
      <c r="H29" s="76">
        <f t="shared" si="25"/>
        <v>175035</v>
      </c>
      <c r="I29" s="76">
        <v>40000</v>
      </c>
      <c r="J29" s="76"/>
      <c r="K29" s="89">
        <f t="shared" si="16"/>
        <v>233.38</v>
      </c>
      <c r="L29" s="76">
        <v>233380</v>
      </c>
      <c r="M29" s="43">
        <f t="shared" si="17"/>
        <v>0</v>
      </c>
      <c r="N29" s="20"/>
      <c r="O29" s="102">
        <f t="shared" si="18"/>
        <v>0</v>
      </c>
      <c r="P29" s="100">
        <f>S29*0.75</f>
        <v>0</v>
      </c>
      <c r="Q29" s="100">
        <v>0</v>
      </c>
      <c r="R29" s="102">
        <f t="shared" si="19"/>
        <v>0</v>
      </c>
      <c r="S29" s="100"/>
      <c r="T29" s="7"/>
      <c r="U29" s="83">
        <f>U8/B8*B29</f>
        <v>166553.16404415629</v>
      </c>
      <c r="V29" s="36">
        <f t="shared" si="20"/>
        <v>176.28810404415628</v>
      </c>
      <c r="W29" s="20">
        <f t="shared" si="21"/>
        <v>175.035</v>
      </c>
      <c r="X29" s="36">
        <f t="shared" si="22"/>
        <v>0</v>
      </c>
      <c r="Y29" s="43">
        <f t="shared" si="23"/>
        <v>233.38</v>
      </c>
    </row>
    <row r="30" spans="1:38" s="4" customFormat="1" ht="9.9499999999999993" customHeight="1" x14ac:dyDescent="0.15">
      <c r="A30" s="62" t="s">
        <v>54</v>
      </c>
      <c r="B30" s="51">
        <v>0.05</v>
      </c>
      <c r="C30" s="93">
        <f t="shared" si="14"/>
        <v>64.899145505519542</v>
      </c>
      <c r="D30" s="89">
        <f t="shared" si="24"/>
        <v>64899.14550551954</v>
      </c>
      <c r="E30" s="76">
        <v>44080</v>
      </c>
      <c r="F30" s="89">
        <f t="shared" si="15"/>
        <v>768.12974999999994</v>
      </c>
      <c r="G30" s="7"/>
      <c r="H30" s="76">
        <f t="shared" si="25"/>
        <v>768129.75</v>
      </c>
      <c r="I30" s="76"/>
      <c r="J30" s="76"/>
      <c r="K30" s="89">
        <f t="shared" si="16"/>
        <v>1024.173</v>
      </c>
      <c r="L30" s="76">
        <v>1024173</v>
      </c>
      <c r="M30" s="43">
        <f t="shared" si="17"/>
        <v>0</v>
      </c>
      <c r="N30" s="20"/>
      <c r="O30" s="102">
        <f t="shared" si="18"/>
        <v>-750</v>
      </c>
      <c r="P30" s="100">
        <f>S30*0.75</f>
        <v>750000</v>
      </c>
      <c r="Q30" s="100">
        <v>0</v>
      </c>
      <c r="R30" s="102">
        <f t="shared" si="19"/>
        <v>-1000</v>
      </c>
      <c r="S30" s="100">
        <v>1000000</v>
      </c>
      <c r="T30" s="7"/>
      <c r="U30" s="83">
        <f>U8/B8*B30</f>
        <v>20819.145505519537</v>
      </c>
      <c r="V30" s="36">
        <f t="shared" si="20"/>
        <v>64.899145505519542</v>
      </c>
      <c r="W30" s="20">
        <f t="shared" si="21"/>
        <v>18.129749999999945</v>
      </c>
      <c r="X30" s="36">
        <f t="shared" si="22"/>
        <v>0</v>
      </c>
      <c r="Y30" s="43">
        <f t="shared" si="23"/>
        <v>24.173000000000002</v>
      </c>
    </row>
    <row r="31" spans="1:38" s="8" customFormat="1" ht="9.9499999999999993" customHeight="1" x14ac:dyDescent="0.15">
      <c r="A31" s="61" t="s">
        <v>56</v>
      </c>
      <c r="B31" s="49">
        <f>SUM(B32:B35)</f>
        <v>1.9</v>
      </c>
      <c r="C31" s="92">
        <f t="shared" si="14"/>
        <v>877.6565292097423</v>
      </c>
      <c r="D31" s="74">
        <f t="shared" si="24"/>
        <v>877656.52920974232</v>
      </c>
      <c r="E31" s="75">
        <f>SUM(E32:E35)</f>
        <v>86529</v>
      </c>
      <c r="F31" s="74">
        <f t="shared" si="15"/>
        <v>1551.41625</v>
      </c>
      <c r="G31" s="3">
        <f>I31/2</f>
        <v>75000</v>
      </c>
      <c r="H31" s="75">
        <f t="shared" si="25"/>
        <v>1551416.25</v>
      </c>
      <c r="I31" s="75">
        <v>150000</v>
      </c>
      <c r="J31" s="75">
        <f>J32+J33+J34+J35</f>
        <v>0</v>
      </c>
      <c r="K31" s="74">
        <f t="shared" si="16"/>
        <v>2068.5549999999998</v>
      </c>
      <c r="L31" s="75">
        <f>SUM(L32:L35)</f>
        <v>2068555</v>
      </c>
      <c r="M31" s="41">
        <f t="shared" si="17"/>
        <v>0</v>
      </c>
      <c r="N31" s="9">
        <f>N33+N32+N34+N35</f>
        <v>0</v>
      </c>
      <c r="O31" s="101">
        <f t="shared" si="18"/>
        <v>-750</v>
      </c>
      <c r="P31" s="106">
        <f>P32+P33+P35+P34</f>
        <v>750000</v>
      </c>
      <c r="Q31" s="106">
        <v>0</v>
      </c>
      <c r="R31" s="101">
        <f t="shared" si="19"/>
        <v>-1000</v>
      </c>
      <c r="S31" s="106">
        <v>1000000</v>
      </c>
      <c r="T31" s="3"/>
      <c r="U31" s="82">
        <f>U8/B8*B31</f>
        <v>791127.52920974232</v>
      </c>
      <c r="V31" s="33">
        <f t="shared" si="20"/>
        <v>877.6565292097423</v>
      </c>
      <c r="W31" s="9">
        <f t="shared" si="21"/>
        <v>801.41624999999999</v>
      </c>
      <c r="X31" s="33">
        <f t="shared" si="22"/>
        <v>0</v>
      </c>
      <c r="Y31" s="41">
        <f t="shared" si="23"/>
        <v>1068.5549999999998</v>
      </c>
    </row>
    <row r="32" spans="1:38" s="4" customFormat="1" ht="9.9499999999999993" customHeight="1" x14ac:dyDescent="0.15">
      <c r="A32" s="62" t="s">
        <v>6</v>
      </c>
      <c r="B32" s="51">
        <v>0.8</v>
      </c>
      <c r="C32" s="93">
        <f t="shared" si="14"/>
        <v>370.77432808831259</v>
      </c>
      <c r="D32" s="89">
        <f t="shared" si="24"/>
        <v>370774.32808831258</v>
      </c>
      <c r="E32" s="76">
        <v>37668</v>
      </c>
      <c r="F32" s="89">
        <f t="shared" si="15"/>
        <v>327.57</v>
      </c>
      <c r="G32" s="7">
        <f>I32/2</f>
        <v>25000</v>
      </c>
      <c r="H32" s="76">
        <f t="shared" si="25"/>
        <v>327570</v>
      </c>
      <c r="I32" s="76">
        <v>50000</v>
      </c>
      <c r="J32" s="76"/>
      <c r="K32" s="89">
        <f t="shared" si="16"/>
        <v>436.76</v>
      </c>
      <c r="L32" s="76">
        <v>436760</v>
      </c>
      <c r="M32" s="43">
        <f t="shared" si="17"/>
        <v>0</v>
      </c>
      <c r="N32" s="20"/>
      <c r="O32" s="102">
        <f t="shared" si="18"/>
        <v>0</v>
      </c>
      <c r="P32" s="100">
        <f>S32*0.75</f>
        <v>0</v>
      </c>
      <c r="Q32" s="100">
        <v>0</v>
      </c>
      <c r="R32" s="102">
        <f t="shared" si="19"/>
        <v>0</v>
      </c>
      <c r="S32" s="100"/>
      <c r="T32" s="7"/>
      <c r="U32" s="83">
        <f>U8/B8*B32</f>
        <v>333106.32808831258</v>
      </c>
      <c r="V32" s="36">
        <f t="shared" si="20"/>
        <v>370.77432808831259</v>
      </c>
      <c r="W32" s="20">
        <f t="shared" si="21"/>
        <v>327.57</v>
      </c>
      <c r="X32" s="36">
        <f t="shared" si="22"/>
        <v>0</v>
      </c>
      <c r="Y32" s="43">
        <f t="shared" si="23"/>
        <v>436.76</v>
      </c>
    </row>
    <row r="33" spans="1:25" s="4" customFormat="1" ht="9.9499999999999993" customHeight="1" x14ac:dyDescent="0.15">
      <c r="A33" s="62" t="s">
        <v>109</v>
      </c>
      <c r="B33" s="51">
        <v>0.2</v>
      </c>
      <c r="C33" s="93">
        <f t="shared" si="14"/>
        <v>84.976582022078148</v>
      </c>
      <c r="D33" s="89">
        <f t="shared" si="24"/>
        <v>84976.582022078146</v>
      </c>
      <c r="E33" s="76">
        <v>1700</v>
      </c>
      <c r="F33" s="89">
        <f t="shared" si="15"/>
        <v>72.517499999999998</v>
      </c>
      <c r="G33" s="7"/>
      <c r="H33" s="76">
        <f t="shared" si="25"/>
        <v>72517.5</v>
      </c>
      <c r="I33" s="76"/>
      <c r="J33" s="76"/>
      <c r="K33" s="89">
        <f t="shared" si="16"/>
        <v>96.69</v>
      </c>
      <c r="L33" s="76">
        <v>96690</v>
      </c>
      <c r="M33" s="43">
        <f t="shared" si="17"/>
        <v>0</v>
      </c>
      <c r="N33" s="20"/>
      <c r="O33" s="102">
        <f t="shared" si="18"/>
        <v>0</v>
      </c>
      <c r="P33" s="100">
        <f>S33*0.75</f>
        <v>0</v>
      </c>
      <c r="Q33" s="100">
        <v>0</v>
      </c>
      <c r="R33" s="102">
        <f t="shared" si="19"/>
        <v>0</v>
      </c>
      <c r="S33" s="100"/>
      <c r="T33" s="7"/>
      <c r="U33" s="83">
        <f>U8/B8*B33</f>
        <v>83276.582022078146</v>
      </c>
      <c r="V33" s="36">
        <f t="shared" si="20"/>
        <v>84.976582022078148</v>
      </c>
      <c r="W33" s="20">
        <f t="shared" si="21"/>
        <v>72.517499999999998</v>
      </c>
      <c r="X33" s="36">
        <f t="shared" si="22"/>
        <v>0</v>
      </c>
      <c r="Y33" s="43">
        <f t="shared" si="23"/>
        <v>96.69</v>
      </c>
    </row>
    <row r="34" spans="1:25" s="4" customFormat="1" ht="9.9499999999999993" customHeight="1" x14ac:dyDescent="0.15">
      <c r="A34" s="62" t="s">
        <v>116</v>
      </c>
      <c r="B34" s="51">
        <v>0.5</v>
      </c>
      <c r="C34" s="93">
        <f t="shared" si="14"/>
        <v>254.87145505519536</v>
      </c>
      <c r="D34" s="89">
        <f t="shared" si="24"/>
        <v>254871.45505519534</v>
      </c>
      <c r="E34" s="76">
        <f>40650+41905.89+6030-41905.89</f>
        <v>46680</v>
      </c>
      <c r="F34" s="89">
        <f t="shared" si="15"/>
        <v>1006.29375</v>
      </c>
      <c r="G34" s="7">
        <f>I34/2</f>
        <v>50000</v>
      </c>
      <c r="H34" s="76">
        <f t="shared" si="25"/>
        <v>1006293.75</v>
      </c>
      <c r="I34" s="76">
        <v>100000</v>
      </c>
      <c r="J34" s="76"/>
      <c r="K34" s="89">
        <f t="shared" si="16"/>
        <v>1341.7249999999999</v>
      </c>
      <c r="L34" s="76">
        <v>1341725</v>
      </c>
      <c r="M34" s="43">
        <f t="shared" si="17"/>
        <v>0</v>
      </c>
      <c r="N34" s="20"/>
      <c r="O34" s="102">
        <f t="shared" si="18"/>
        <v>-750</v>
      </c>
      <c r="P34" s="100">
        <f>S34*0.75</f>
        <v>750000</v>
      </c>
      <c r="Q34" s="100">
        <v>0</v>
      </c>
      <c r="R34" s="102">
        <f t="shared" si="19"/>
        <v>-1000</v>
      </c>
      <c r="S34" s="100">
        <v>1000000</v>
      </c>
      <c r="T34" s="7"/>
      <c r="U34" s="83">
        <f>U8/B8*B34</f>
        <v>208191.45505519534</v>
      </c>
      <c r="V34" s="36">
        <f t="shared" si="20"/>
        <v>254.87145505519536</v>
      </c>
      <c r="W34" s="20">
        <f t="shared" si="21"/>
        <v>256.29375000000005</v>
      </c>
      <c r="X34" s="36">
        <f t="shared" si="22"/>
        <v>0</v>
      </c>
      <c r="Y34" s="43">
        <f t="shared" si="23"/>
        <v>341.72499999999991</v>
      </c>
    </row>
    <row r="35" spans="1:25" s="4" customFormat="1" ht="9.9499999999999993" customHeight="1" x14ac:dyDescent="0.15">
      <c r="A35" s="62" t="s">
        <v>7</v>
      </c>
      <c r="B35" s="51">
        <v>0.4</v>
      </c>
      <c r="C35" s="93">
        <f t="shared" si="14"/>
        <v>167.03416404415628</v>
      </c>
      <c r="D35" s="89">
        <f t="shared" si="24"/>
        <v>167034.16404415629</v>
      </c>
      <c r="E35" s="76">
        <f>232+249</f>
        <v>481</v>
      </c>
      <c r="F35" s="89">
        <f t="shared" si="15"/>
        <v>145.035</v>
      </c>
      <c r="G35" s="7"/>
      <c r="H35" s="76">
        <f t="shared" si="25"/>
        <v>145035</v>
      </c>
      <c r="I35" s="76"/>
      <c r="J35" s="76"/>
      <c r="K35" s="89">
        <f t="shared" si="16"/>
        <v>193.38</v>
      </c>
      <c r="L35" s="76">
        <v>193380</v>
      </c>
      <c r="M35" s="43">
        <f t="shared" si="17"/>
        <v>0</v>
      </c>
      <c r="N35" s="20"/>
      <c r="O35" s="102">
        <f t="shared" si="18"/>
        <v>0</v>
      </c>
      <c r="P35" s="100">
        <f>S35*0.75</f>
        <v>0</v>
      </c>
      <c r="Q35" s="100">
        <v>0</v>
      </c>
      <c r="R35" s="102">
        <f t="shared" si="19"/>
        <v>0</v>
      </c>
      <c r="S35" s="100"/>
      <c r="T35" s="7"/>
      <c r="U35" s="83">
        <f>U8/B8*B35</f>
        <v>166553.16404415629</v>
      </c>
      <c r="V35" s="36">
        <f t="shared" si="20"/>
        <v>167.03416404415628</v>
      </c>
      <c r="W35" s="20">
        <f t="shared" si="21"/>
        <v>145.035</v>
      </c>
      <c r="X35" s="36">
        <f t="shared" si="22"/>
        <v>0</v>
      </c>
      <c r="Y35" s="43">
        <f t="shared" si="23"/>
        <v>193.38</v>
      </c>
    </row>
    <row r="36" spans="1:25" s="8" customFormat="1" ht="9.9499999999999993" customHeight="1" x14ac:dyDescent="0.15">
      <c r="A36" s="61" t="s">
        <v>59</v>
      </c>
      <c r="B36" s="49">
        <f>SUM(B37:B41)</f>
        <v>3.85</v>
      </c>
      <c r="C36" s="92">
        <f t="shared" si="14"/>
        <v>3761.8392039250043</v>
      </c>
      <c r="D36" s="74">
        <f t="shared" si="24"/>
        <v>3761839.2039250042</v>
      </c>
      <c r="E36" s="75">
        <f>SUM(E37:E41)</f>
        <v>2158765</v>
      </c>
      <c r="F36" s="74">
        <f t="shared" si="15"/>
        <v>4488.5827499999996</v>
      </c>
      <c r="G36" s="3">
        <f>I36/2</f>
        <v>2061747</v>
      </c>
      <c r="H36" s="75">
        <f t="shared" si="25"/>
        <v>4488582.75</v>
      </c>
      <c r="I36" s="75">
        <v>4123494</v>
      </c>
      <c r="J36" s="75">
        <f>J37+J39+J38+J40+J41</f>
        <v>0</v>
      </c>
      <c r="K36" s="74">
        <f t="shared" si="16"/>
        <v>5984.777</v>
      </c>
      <c r="L36" s="75">
        <f>SUM(L37:L41)</f>
        <v>5984777</v>
      </c>
      <c r="M36" s="41">
        <f t="shared" si="17"/>
        <v>-1213.7929999999999</v>
      </c>
      <c r="N36" s="9">
        <f>N37+N38+N39+N40+N41</f>
        <v>1213793</v>
      </c>
      <c r="O36" s="101">
        <f t="shared" si="18"/>
        <v>-2844.375</v>
      </c>
      <c r="P36" s="106">
        <f>P37+P38+P39+P40+P41</f>
        <v>2844375</v>
      </c>
      <c r="Q36" s="106">
        <f>Q37+Q38+Q39+Q41+Q40</f>
        <v>0</v>
      </c>
      <c r="R36" s="101">
        <f t="shared" si="19"/>
        <v>-3792.5</v>
      </c>
      <c r="S36" s="106">
        <f>S38+S39+S40+S41</f>
        <v>3792500</v>
      </c>
      <c r="T36" s="3"/>
      <c r="U36" s="82">
        <f>U8/B8*B36</f>
        <v>1603074.2039250042</v>
      </c>
      <c r="V36" s="33">
        <f t="shared" si="20"/>
        <v>2548.0462039250042</v>
      </c>
      <c r="W36" s="9">
        <f t="shared" si="21"/>
        <v>1644.2077499999996</v>
      </c>
      <c r="X36" s="33">
        <f t="shared" si="22"/>
        <v>0</v>
      </c>
      <c r="Y36" s="41">
        <f t="shared" si="23"/>
        <v>2192.277</v>
      </c>
    </row>
    <row r="37" spans="1:25" s="4" customFormat="1" ht="9.9499999999999993" customHeight="1" x14ac:dyDescent="0.15">
      <c r="A37" s="62" t="s">
        <v>8</v>
      </c>
      <c r="B37" s="51">
        <v>0.6</v>
      </c>
      <c r="C37" s="93">
        <f t="shared" si="14"/>
        <v>299.65374606623442</v>
      </c>
      <c r="D37" s="89">
        <f t="shared" si="24"/>
        <v>299653.74606623442</v>
      </c>
      <c r="E37" s="76">
        <v>49824</v>
      </c>
      <c r="F37" s="89">
        <f t="shared" si="15"/>
        <v>303.80250000000001</v>
      </c>
      <c r="G37" s="7">
        <f>I37/2</f>
        <v>57500</v>
      </c>
      <c r="H37" s="76">
        <f t="shared" si="25"/>
        <v>303802.5</v>
      </c>
      <c r="I37" s="76">
        <v>115000</v>
      </c>
      <c r="J37" s="76"/>
      <c r="K37" s="89">
        <f t="shared" si="16"/>
        <v>405.07</v>
      </c>
      <c r="L37" s="76">
        <v>405070</v>
      </c>
      <c r="M37" s="43">
        <f t="shared" si="17"/>
        <v>0</v>
      </c>
      <c r="N37" s="20"/>
      <c r="O37" s="102">
        <f t="shared" si="18"/>
        <v>0</v>
      </c>
      <c r="P37" s="100">
        <f>S37*0.75</f>
        <v>0</v>
      </c>
      <c r="Q37" s="100">
        <v>0</v>
      </c>
      <c r="R37" s="102">
        <f t="shared" si="19"/>
        <v>0</v>
      </c>
      <c r="S37" s="100"/>
      <c r="T37" s="7"/>
      <c r="U37" s="83">
        <f>U8/B8*B37</f>
        <v>249829.74606623439</v>
      </c>
      <c r="V37" s="36">
        <f t="shared" si="20"/>
        <v>299.65374606623442</v>
      </c>
      <c r="W37" s="20">
        <f t="shared" si="21"/>
        <v>303.80250000000001</v>
      </c>
      <c r="X37" s="36">
        <f t="shared" si="22"/>
        <v>0</v>
      </c>
      <c r="Y37" s="43">
        <f t="shared" si="23"/>
        <v>405.07</v>
      </c>
    </row>
    <row r="38" spans="1:25" s="4" customFormat="1" ht="9.9499999999999993" customHeight="1" x14ac:dyDescent="0.15">
      <c r="A38" s="62" t="s">
        <v>9</v>
      </c>
      <c r="B38" s="51">
        <v>1.4</v>
      </c>
      <c r="C38" s="93">
        <f t="shared" si="14"/>
        <v>621.67507415454691</v>
      </c>
      <c r="D38" s="89">
        <f t="shared" si="24"/>
        <v>621675.07415454695</v>
      </c>
      <c r="E38" s="76">
        <v>38739</v>
      </c>
      <c r="F38" s="89">
        <f t="shared" si="15"/>
        <v>780.62249999999995</v>
      </c>
      <c r="G38" s="7">
        <f>I38/2</f>
        <v>32000</v>
      </c>
      <c r="H38" s="76">
        <f t="shared" si="25"/>
        <v>780622.5</v>
      </c>
      <c r="I38" s="76">
        <v>64000</v>
      </c>
      <c r="J38" s="76"/>
      <c r="K38" s="89">
        <f t="shared" si="16"/>
        <v>1040.83</v>
      </c>
      <c r="L38" s="76">
        <v>1040830</v>
      </c>
      <c r="M38" s="43">
        <f t="shared" si="17"/>
        <v>-2</v>
      </c>
      <c r="N38" s="20">
        <v>2000</v>
      </c>
      <c r="O38" s="102">
        <f t="shared" si="18"/>
        <v>-225</v>
      </c>
      <c r="P38" s="100">
        <f>S38*0.75</f>
        <v>225000</v>
      </c>
      <c r="Q38" s="100">
        <v>0</v>
      </c>
      <c r="R38" s="102">
        <f t="shared" si="19"/>
        <v>-300</v>
      </c>
      <c r="S38" s="100">
        <v>300000</v>
      </c>
      <c r="T38" s="7">
        <v>2000</v>
      </c>
      <c r="U38" s="83">
        <f>U8/B8*B38</f>
        <v>582936.07415454695</v>
      </c>
      <c r="V38" s="36">
        <f t="shared" si="20"/>
        <v>619.67507415454691</v>
      </c>
      <c r="W38" s="20">
        <f t="shared" si="21"/>
        <v>555.62249999999995</v>
      </c>
      <c r="X38" s="36">
        <f t="shared" si="22"/>
        <v>0</v>
      </c>
      <c r="Y38" s="43">
        <f t="shared" si="23"/>
        <v>740.82999999999993</v>
      </c>
    </row>
    <row r="39" spans="1:25" s="4" customFormat="1" ht="9.9499999999999993" customHeight="1" x14ac:dyDescent="0.15">
      <c r="A39" s="62" t="s">
        <v>10</v>
      </c>
      <c r="B39" s="51">
        <v>0.35</v>
      </c>
      <c r="C39" s="93">
        <f t="shared" si="14"/>
        <v>194.69201853863675</v>
      </c>
      <c r="D39" s="89">
        <f t="shared" si="24"/>
        <v>194692.01853863674</v>
      </c>
      <c r="E39" s="76">
        <v>48958</v>
      </c>
      <c r="F39" s="89">
        <f t="shared" si="15"/>
        <v>711.90599999999995</v>
      </c>
      <c r="G39" s="7"/>
      <c r="H39" s="76">
        <f t="shared" si="25"/>
        <v>711906</v>
      </c>
      <c r="I39" s="76"/>
      <c r="J39" s="76"/>
      <c r="K39" s="89">
        <f t="shared" si="16"/>
        <v>949.20799999999997</v>
      </c>
      <c r="L39" s="76">
        <v>949208</v>
      </c>
      <c r="M39" s="43">
        <f t="shared" si="17"/>
        <v>-6</v>
      </c>
      <c r="N39" s="20">
        <v>6000</v>
      </c>
      <c r="O39" s="102">
        <f t="shared" si="18"/>
        <v>-585</v>
      </c>
      <c r="P39" s="100">
        <f>S39*0.75</f>
        <v>585000</v>
      </c>
      <c r="Q39" s="100"/>
      <c r="R39" s="102">
        <f t="shared" si="19"/>
        <v>-780</v>
      </c>
      <c r="S39" s="100">
        <v>780000</v>
      </c>
      <c r="T39" s="7">
        <v>6000</v>
      </c>
      <c r="U39" s="83">
        <f>U8/B8*B39</f>
        <v>145734.01853863674</v>
      </c>
      <c r="V39" s="36">
        <f t="shared" si="20"/>
        <v>188.69201853863675</v>
      </c>
      <c r="W39" s="20">
        <f t="shared" si="21"/>
        <v>126.90599999999995</v>
      </c>
      <c r="X39" s="36">
        <f t="shared" si="22"/>
        <v>0</v>
      </c>
      <c r="Y39" s="43">
        <f t="shared" si="23"/>
        <v>169.20799999999997</v>
      </c>
    </row>
    <row r="40" spans="1:25" s="4" customFormat="1" ht="9.9499999999999993" customHeight="1" x14ac:dyDescent="0.15">
      <c r="A40" s="62" t="s">
        <v>12</v>
      </c>
      <c r="B40" s="51">
        <v>1</v>
      </c>
      <c r="C40" s="93">
        <f t="shared" si="14"/>
        <v>2418.8049101103907</v>
      </c>
      <c r="D40" s="89">
        <f t="shared" si="24"/>
        <v>2418804.9101103907</v>
      </c>
      <c r="E40" s="76">
        <v>2002422</v>
      </c>
      <c r="F40" s="89">
        <f t="shared" si="15"/>
        <v>1646.5830000000001</v>
      </c>
      <c r="G40" s="7"/>
      <c r="H40" s="76">
        <f t="shared" si="25"/>
        <v>1646583</v>
      </c>
      <c r="I40" s="76"/>
      <c r="J40" s="76"/>
      <c r="K40" s="89">
        <f t="shared" si="16"/>
        <v>2195.444</v>
      </c>
      <c r="L40" s="76">
        <v>2195444</v>
      </c>
      <c r="M40" s="43">
        <f t="shared" si="17"/>
        <v>-1205.7929999999999</v>
      </c>
      <c r="N40" s="20">
        <f>455793+750000</f>
        <v>1205793</v>
      </c>
      <c r="O40" s="102">
        <f t="shared" si="18"/>
        <v>-1284.375</v>
      </c>
      <c r="P40" s="100">
        <f>S40*0.75</f>
        <v>1284375</v>
      </c>
      <c r="Q40" s="100"/>
      <c r="R40" s="102">
        <f t="shared" si="19"/>
        <v>-1712.5</v>
      </c>
      <c r="S40" s="100">
        <v>1712500</v>
      </c>
      <c r="T40" s="7">
        <f>750000+455793</f>
        <v>1205793</v>
      </c>
      <c r="U40" s="83">
        <f>U8/B8*B40</f>
        <v>416382.91011039069</v>
      </c>
      <c r="V40" s="36">
        <f t="shared" si="20"/>
        <v>1213.0119101103908</v>
      </c>
      <c r="W40" s="20">
        <f t="shared" si="21"/>
        <v>362.20800000000008</v>
      </c>
      <c r="X40" s="36">
        <f t="shared" si="22"/>
        <v>0</v>
      </c>
      <c r="Y40" s="43">
        <f t="shared" si="23"/>
        <v>482.94399999999996</v>
      </c>
    </row>
    <row r="41" spans="1:25" s="4" customFormat="1" ht="9.9499999999999993" customHeight="1" x14ac:dyDescent="0.15">
      <c r="A41" s="62" t="s">
        <v>37</v>
      </c>
      <c r="B41" s="51">
        <v>0.5</v>
      </c>
      <c r="C41" s="93">
        <f t="shared" si="14"/>
        <v>227.01345505519535</v>
      </c>
      <c r="D41" s="89">
        <f t="shared" si="24"/>
        <v>227013.45505519534</v>
      </c>
      <c r="E41" s="76">
        <f>1022+17800</f>
        <v>18822</v>
      </c>
      <c r="F41" s="89">
        <f t="shared" si="15"/>
        <v>1045.66875</v>
      </c>
      <c r="G41" s="7"/>
      <c r="H41" s="76">
        <f t="shared" si="25"/>
        <v>1045668.75</v>
      </c>
      <c r="I41" s="76"/>
      <c r="J41" s="76"/>
      <c r="K41" s="89">
        <f t="shared" si="16"/>
        <v>1394.2249999999999</v>
      </c>
      <c r="L41" s="76">
        <f>150845+1243380</f>
        <v>1394225</v>
      </c>
      <c r="M41" s="43">
        <f t="shared" si="17"/>
        <v>0</v>
      </c>
      <c r="N41" s="20"/>
      <c r="O41" s="102">
        <f t="shared" si="18"/>
        <v>-750</v>
      </c>
      <c r="P41" s="100">
        <f>S41*0.75</f>
        <v>750000</v>
      </c>
      <c r="Q41" s="100">
        <v>0</v>
      </c>
      <c r="R41" s="102">
        <f t="shared" si="19"/>
        <v>-1000</v>
      </c>
      <c r="S41" s="100">
        <v>1000000</v>
      </c>
      <c r="T41" s="7"/>
      <c r="U41" s="83">
        <f>U8/B8*B41</f>
        <v>208191.45505519534</v>
      </c>
      <c r="V41" s="36">
        <f t="shared" si="20"/>
        <v>227.01345505519535</v>
      </c>
      <c r="W41" s="20">
        <f t="shared" si="21"/>
        <v>295.66875000000005</v>
      </c>
      <c r="X41" s="36">
        <f t="shared" si="22"/>
        <v>0</v>
      </c>
      <c r="Y41" s="43">
        <f t="shared" si="23"/>
        <v>394.22499999999991</v>
      </c>
    </row>
    <row r="42" spans="1:25" s="8" customFormat="1" ht="9.9499999999999993" customHeight="1" x14ac:dyDescent="0.15">
      <c r="A42" s="61" t="s">
        <v>60</v>
      </c>
      <c r="B42" s="49">
        <f>SUM(B43:B45)</f>
        <v>0.97</v>
      </c>
      <c r="C42" s="92">
        <f t="shared" si="14"/>
        <v>886.44942280707903</v>
      </c>
      <c r="D42" s="74">
        <f t="shared" si="24"/>
        <v>886449.42280707904</v>
      </c>
      <c r="E42" s="75">
        <f>SUM(E43:E45)</f>
        <v>482558</v>
      </c>
      <c r="F42" s="74">
        <f t="shared" si="15"/>
        <v>982.69725000000005</v>
      </c>
      <c r="G42" s="3"/>
      <c r="H42" s="75">
        <f t="shared" si="25"/>
        <v>982697.25</v>
      </c>
      <c r="I42" s="75">
        <v>841316</v>
      </c>
      <c r="J42" s="75">
        <f>J43+J44+J45</f>
        <v>0</v>
      </c>
      <c r="K42" s="74">
        <f t="shared" si="16"/>
        <v>1310.2629999999999</v>
      </c>
      <c r="L42" s="75">
        <f>SUM(L43:L45)</f>
        <v>1310263</v>
      </c>
      <c r="M42" s="41">
        <f t="shared" si="17"/>
        <v>-325</v>
      </c>
      <c r="N42" s="9">
        <f>N43+N44+N45</f>
        <v>325000</v>
      </c>
      <c r="O42" s="101">
        <f t="shared" si="18"/>
        <v>-525</v>
      </c>
      <c r="P42" s="106">
        <f>P43+P44+P45</f>
        <v>525000</v>
      </c>
      <c r="Q42" s="106">
        <f>Q43+Q44+Q45</f>
        <v>0</v>
      </c>
      <c r="R42" s="101">
        <f t="shared" si="19"/>
        <v>-700</v>
      </c>
      <c r="S42" s="106">
        <v>700000</v>
      </c>
      <c r="T42" s="3"/>
      <c r="U42" s="82">
        <f>U8/B8*B42</f>
        <v>403891.42280707898</v>
      </c>
      <c r="V42" s="33">
        <f t="shared" si="20"/>
        <v>561.44942280707903</v>
      </c>
      <c r="W42" s="9">
        <f t="shared" si="21"/>
        <v>457.69725000000005</v>
      </c>
      <c r="X42" s="33">
        <f t="shared" si="22"/>
        <v>0</v>
      </c>
      <c r="Y42" s="41">
        <f t="shared" si="23"/>
        <v>610.26299999999992</v>
      </c>
    </row>
    <row r="43" spans="1:25" s="4" customFormat="1" ht="9.9499999999999993" customHeight="1" x14ac:dyDescent="0.15">
      <c r="A43" s="62" t="s">
        <v>13</v>
      </c>
      <c r="B43" s="51">
        <v>0.42</v>
      </c>
      <c r="C43" s="93">
        <f t="shared" si="14"/>
        <v>201.51582224636408</v>
      </c>
      <c r="D43" s="89">
        <f t="shared" si="24"/>
        <v>201515.82224636409</v>
      </c>
      <c r="E43" s="76">
        <v>26635</v>
      </c>
      <c r="F43" s="89">
        <f t="shared" si="15"/>
        <v>174.78675000000001</v>
      </c>
      <c r="G43" s="7"/>
      <c r="H43" s="76">
        <f t="shared" si="25"/>
        <v>174786.75</v>
      </c>
      <c r="I43" s="76">
        <v>30000</v>
      </c>
      <c r="J43" s="76"/>
      <c r="K43" s="89">
        <f t="shared" si="16"/>
        <v>233.04900000000001</v>
      </c>
      <c r="L43" s="76">
        <v>233049</v>
      </c>
      <c r="M43" s="43">
        <f t="shared" si="17"/>
        <v>0</v>
      </c>
      <c r="N43" s="20"/>
      <c r="O43" s="102">
        <f t="shared" si="18"/>
        <v>0</v>
      </c>
      <c r="P43" s="100">
        <f t="shared" ref="P43:P48" si="27">S43*0.75</f>
        <v>0</v>
      </c>
      <c r="Q43" s="100">
        <v>0</v>
      </c>
      <c r="R43" s="102">
        <f t="shared" si="19"/>
        <v>0</v>
      </c>
      <c r="S43" s="100"/>
      <c r="T43" s="7"/>
      <c r="U43" s="83">
        <f>U8/B8*B43</f>
        <v>174880.82224636409</v>
      </c>
      <c r="V43" s="36">
        <f t="shared" si="20"/>
        <v>201.51582224636408</v>
      </c>
      <c r="W43" s="20">
        <f t="shared" si="21"/>
        <v>174.78675000000001</v>
      </c>
      <c r="X43" s="36">
        <f t="shared" si="22"/>
        <v>0</v>
      </c>
      <c r="Y43" s="43">
        <f t="shared" si="23"/>
        <v>233.04900000000001</v>
      </c>
    </row>
    <row r="44" spans="1:25" s="4" customFormat="1" ht="9.9499999999999993" customHeight="1" x14ac:dyDescent="0.15">
      <c r="A44" s="62" t="s">
        <v>14</v>
      </c>
      <c r="B44" s="51">
        <v>0.45</v>
      </c>
      <c r="C44" s="93">
        <f t="shared" si="14"/>
        <v>643.29530954967584</v>
      </c>
      <c r="D44" s="89">
        <f t="shared" si="24"/>
        <v>643295.30954967579</v>
      </c>
      <c r="E44" s="76">
        <v>455923</v>
      </c>
      <c r="F44" s="89">
        <f t="shared" si="15"/>
        <v>771.65174999999999</v>
      </c>
      <c r="G44" s="7"/>
      <c r="H44" s="76">
        <f t="shared" si="25"/>
        <v>771651.75</v>
      </c>
      <c r="I44" s="76">
        <v>811316</v>
      </c>
      <c r="J44" s="76"/>
      <c r="K44" s="89">
        <f t="shared" si="16"/>
        <v>1028.8689999999999</v>
      </c>
      <c r="L44" s="76">
        <f>217553+1000+470316+340000</f>
        <v>1028869</v>
      </c>
      <c r="M44" s="43">
        <f t="shared" si="17"/>
        <v>-325</v>
      </c>
      <c r="N44" s="20">
        <v>325000</v>
      </c>
      <c r="O44" s="102">
        <f t="shared" si="18"/>
        <v>-525</v>
      </c>
      <c r="P44" s="100">
        <f t="shared" si="27"/>
        <v>525000</v>
      </c>
      <c r="Q44" s="100"/>
      <c r="R44" s="102">
        <f t="shared" si="19"/>
        <v>-700</v>
      </c>
      <c r="S44" s="100">
        <v>700000</v>
      </c>
      <c r="T44" s="7">
        <v>325000</v>
      </c>
      <c r="U44" s="83">
        <f>U8/B8*B44</f>
        <v>187372.30954967582</v>
      </c>
      <c r="V44" s="36">
        <f t="shared" si="20"/>
        <v>318.29530954967584</v>
      </c>
      <c r="W44" s="20">
        <f t="shared" si="21"/>
        <v>246.65174999999999</v>
      </c>
      <c r="X44" s="36">
        <f t="shared" si="22"/>
        <v>0</v>
      </c>
      <c r="Y44" s="43">
        <f t="shared" si="23"/>
        <v>328.86899999999991</v>
      </c>
    </row>
    <row r="45" spans="1:25" s="4" customFormat="1" ht="9.9499999999999993" customHeight="1" x14ac:dyDescent="0.15">
      <c r="A45" s="62" t="s">
        <v>37</v>
      </c>
      <c r="B45" s="51">
        <v>0.1</v>
      </c>
      <c r="C45" s="93">
        <f t="shared" si="14"/>
        <v>41.638291011039072</v>
      </c>
      <c r="D45" s="89">
        <f t="shared" si="24"/>
        <v>41638.291011039073</v>
      </c>
      <c r="E45" s="76"/>
      <c r="F45" s="89">
        <f t="shared" si="15"/>
        <v>36.258749999999999</v>
      </c>
      <c r="G45" s="7"/>
      <c r="H45" s="76">
        <f t="shared" si="25"/>
        <v>36258.75</v>
      </c>
      <c r="I45" s="76"/>
      <c r="J45" s="76"/>
      <c r="K45" s="89">
        <f t="shared" si="16"/>
        <v>48.344999999999999</v>
      </c>
      <c r="L45" s="76">
        <v>48345</v>
      </c>
      <c r="M45" s="43">
        <f t="shared" si="17"/>
        <v>0</v>
      </c>
      <c r="N45" s="20"/>
      <c r="O45" s="102">
        <f t="shared" si="18"/>
        <v>0</v>
      </c>
      <c r="P45" s="100">
        <f t="shared" si="27"/>
        <v>0</v>
      </c>
      <c r="Q45" s="100">
        <v>0</v>
      </c>
      <c r="R45" s="102">
        <f t="shared" si="19"/>
        <v>0</v>
      </c>
      <c r="S45" s="100"/>
      <c r="T45" s="7"/>
      <c r="U45" s="83">
        <f>U8/B8*B45</f>
        <v>41638.291011039073</v>
      </c>
      <c r="V45" s="36">
        <f t="shared" si="20"/>
        <v>41.638291011039072</v>
      </c>
      <c r="W45" s="20">
        <f t="shared" si="21"/>
        <v>36.258749999999999</v>
      </c>
      <c r="X45" s="36">
        <f t="shared" si="22"/>
        <v>0</v>
      </c>
      <c r="Y45" s="43">
        <f t="shared" si="23"/>
        <v>48.344999999999999</v>
      </c>
    </row>
    <row r="46" spans="1:25" s="8" customFormat="1" ht="9.9499999999999993" customHeight="1" x14ac:dyDescent="0.15">
      <c r="A46" s="61" t="s">
        <v>61</v>
      </c>
      <c r="B46" s="49">
        <f>SUM(B47:B48)</f>
        <v>0.3</v>
      </c>
      <c r="C46" s="92">
        <f t="shared" si="14"/>
        <v>171.96852303311721</v>
      </c>
      <c r="D46" s="74">
        <f t="shared" si="24"/>
        <v>171968.52303311721</v>
      </c>
      <c r="E46" s="75">
        <f>SUM(E47:E48)</f>
        <v>47053.65</v>
      </c>
      <c r="F46" s="74">
        <f t="shared" si="15"/>
        <v>138.77699999999999</v>
      </c>
      <c r="G46" s="3">
        <f>I46/2</f>
        <v>20000</v>
      </c>
      <c r="H46" s="75">
        <f t="shared" si="25"/>
        <v>138777</v>
      </c>
      <c r="I46" s="75">
        <v>40000</v>
      </c>
      <c r="J46" s="75">
        <f>J47+J48</f>
        <v>0</v>
      </c>
      <c r="K46" s="74">
        <f t="shared" si="16"/>
        <v>185.036</v>
      </c>
      <c r="L46" s="75">
        <f>SUM(L47:L48)</f>
        <v>185036</v>
      </c>
      <c r="M46" s="41">
        <f t="shared" si="17"/>
        <v>0</v>
      </c>
      <c r="N46" s="9">
        <f>N47+N48</f>
        <v>0</v>
      </c>
      <c r="O46" s="101">
        <f t="shared" si="18"/>
        <v>0</v>
      </c>
      <c r="P46" s="100">
        <f t="shared" si="27"/>
        <v>0</v>
      </c>
      <c r="Q46" s="106">
        <v>0</v>
      </c>
      <c r="R46" s="101">
        <f t="shared" si="19"/>
        <v>0</v>
      </c>
      <c r="S46" s="106"/>
      <c r="T46" s="3"/>
      <c r="U46" s="82">
        <f>U8/B8*B46</f>
        <v>124914.8730331172</v>
      </c>
      <c r="V46" s="33">
        <f t="shared" si="20"/>
        <v>171.96852303311721</v>
      </c>
      <c r="W46" s="9">
        <f t="shared" si="21"/>
        <v>138.77699999999999</v>
      </c>
      <c r="X46" s="33">
        <f t="shared" si="22"/>
        <v>0</v>
      </c>
      <c r="Y46" s="41">
        <f t="shared" si="23"/>
        <v>185.036</v>
      </c>
    </row>
    <row r="47" spans="1:25" s="4" customFormat="1" ht="9.9499999999999993" customHeight="1" x14ac:dyDescent="0.15">
      <c r="A47" s="62" t="s">
        <v>15</v>
      </c>
      <c r="B47" s="51">
        <v>0.15</v>
      </c>
      <c r="C47" s="93">
        <f t="shared" si="14"/>
        <v>109.10143651655861</v>
      </c>
      <c r="D47" s="89">
        <f t="shared" si="24"/>
        <v>109101.43651655861</v>
      </c>
      <c r="E47" s="76">
        <v>46644</v>
      </c>
      <c r="F47" s="89">
        <f t="shared" si="15"/>
        <v>69.388499999999993</v>
      </c>
      <c r="G47" s="7"/>
      <c r="H47" s="76">
        <f t="shared" si="25"/>
        <v>69388.5</v>
      </c>
      <c r="I47" s="76">
        <v>20000</v>
      </c>
      <c r="J47" s="76"/>
      <c r="K47" s="89">
        <f t="shared" si="16"/>
        <v>92.518000000000001</v>
      </c>
      <c r="L47" s="76">
        <v>92518</v>
      </c>
      <c r="M47" s="43">
        <f t="shared" si="17"/>
        <v>0</v>
      </c>
      <c r="N47" s="20"/>
      <c r="O47" s="102">
        <f t="shared" si="18"/>
        <v>0</v>
      </c>
      <c r="P47" s="100">
        <f t="shared" si="27"/>
        <v>0</v>
      </c>
      <c r="Q47" s="100">
        <v>0</v>
      </c>
      <c r="R47" s="102">
        <f t="shared" si="19"/>
        <v>0</v>
      </c>
      <c r="S47" s="100"/>
      <c r="T47" s="7"/>
      <c r="U47" s="83">
        <f>U8/B8*B47</f>
        <v>62457.436516558599</v>
      </c>
      <c r="V47" s="36">
        <f t="shared" si="20"/>
        <v>109.10143651655861</v>
      </c>
      <c r="W47" s="20">
        <f t="shared" si="21"/>
        <v>69.388499999999993</v>
      </c>
      <c r="X47" s="36">
        <f t="shared" si="22"/>
        <v>0</v>
      </c>
      <c r="Y47" s="43">
        <f t="shared" si="23"/>
        <v>92.518000000000001</v>
      </c>
    </row>
    <row r="48" spans="1:25" s="4" customFormat="1" ht="9.9499999999999993" customHeight="1" x14ac:dyDescent="0.15">
      <c r="A48" s="62" t="s">
        <v>16</v>
      </c>
      <c r="B48" s="51">
        <v>0.15</v>
      </c>
      <c r="C48" s="93">
        <f t="shared" si="14"/>
        <v>62.867086516558601</v>
      </c>
      <c r="D48" s="89">
        <f t="shared" si="24"/>
        <v>62867.0865165586</v>
      </c>
      <c r="E48" s="76">
        <v>409.65</v>
      </c>
      <c r="F48" s="89">
        <f t="shared" si="15"/>
        <v>69.388499999999993</v>
      </c>
      <c r="G48" s="7"/>
      <c r="H48" s="76">
        <f t="shared" si="25"/>
        <v>69388.5</v>
      </c>
      <c r="I48" s="76">
        <v>20000</v>
      </c>
      <c r="J48" s="76"/>
      <c r="K48" s="89">
        <f t="shared" si="16"/>
        <v>92.518000000000001</v>
      </c>
      <c r="L48" s="76">
        <v>92518</v>
      </c>
      <c r="M48" s="43">
        <f t="shared" si="17"/>
        <v>0</v>
      </c>
      <c r="N48" s="20"/>
      <c r="O48" s="102">
        <f t="shared" si="18"/>
        <v>0</v>
      </c>
      <c r="P48" s="100">
        <f t="shared" si="27"/>
        <v>0</v>
      </c>
      <c r="Q48" s="100">
        <v>0</v>
      </c>
      <c r="R48" s="102">
        <f t="shared" si="19"/>
        <v>0</v>
      </c>
      <c r="S48" s="100"/>
      <c r="T48" s="7"/>
      <c r="U48" s="83">
        <f>U8/B8*B48</f>
        <v>62457.436516558599</v>
      </c>
      <c r="V48" s="36">
        <f t="shared" si="20"/>
        <v>62.867086516558601</v>
      </c>
      <c r="W48" s="20">
        <f t="shared" si="21"/>
        <v>69.388499999999993</v>
      </c>
      <c r="X48" s="36">
        <f t="shared" si="22"/>
        <v>0</v>
      </c>
      <c r="Y48" s="43">
        <f t="shared" si="23"/>
        <v>92.518000000000001</v>
      </c>
    </row>
    <row r="49" spans="1:25" s="8" customFormat="1" ht="9.9499999999999993" customHeight="1" x14ac:dyDescent="0.15">
      <c r="A49" s="61" t="s">
        <v>62</v>
      </c>
      <c r="B49" s="49">
        <f>SUM(B50:B52)</f>
        <v>1.95</v>
      </c>
      <c r="C49" s="92">
        <f t="shared" si="14"/>
        <v>1393.855674715262</v>
      </c>
      <c r="D49" s="74">
        <f t="shared" si="24"/>
        <v>1393855.6747152619</v>
      </c>
      <c r="E49" s="75">
        <f>SUM(E50:E52)</f>
        <v>581909</v>
      </c>
      <c r="F49" s="74">
        <f t="shared" si="15"/>
        <v>1261.296</v>
      </c>
      <c r="G49" s="3">
        <f>I49/2</f>
        <v>369500</v>
      </c>
      <c r="H49" s="75">
        <f t="shared" si="25"/>
        <v>1261296</v>
      </c>
      <c r="I49" s="75">
        <v>739000</v>
      </c>
      <c r="J49" s="75">
        <f>J50+J51+J52</f>
        <v>0</v>
      </c>
      <c r="K49" s="74">
        <f t="shared" si="16"/>
        <v>1681.7280000000001</v>
      </c>
      <c r="L49" s="75">
        <f>SUM(L50:L52)</f>
        <v>1681728</v>
      </c>
      <c r="M49" s="41">
        <f t="shared" si="17"/>
        <v>-1965.18</v>
      </c>
      <c r="N49" s="9">
        <f>N50+N51</f>
        <v>1965180</v>
      </c>
      <c r="O49" s="101">
        <f t="shared" si="18"/>
        <v>-1013.25</v>
      </c>
      <c r="P49" s="106">
        <f>P50+P52+P51</f>
        <v>1013250</v>
      </c>
      <c r="Q49" s="106">
        <f>Q50+Q52+Q51</f>
        <v>0</v>
      </c>
      <c r="R49" s="101">
        <f t="shared" si="19"/>
        <v>-1351</v>
      </c>
      <c r="S49" s="106">
        <f>S50+S51</f>
        <v>1351000</v>
      </c>
      <c r="T49" s="3">
        <f>T50+T51</f>
        <v>1815541</v>
      </c>
      <c r="U49" s="82">
        <f>U8/B8*B49</f>
        <v>811946.67471526179</v>
      </c>
      <c r="V49" s="33">
        <f t="shared" si="20"/>
        <v>-571.32432528473805</v>
      </c>
      <c r="W49" s="9">
        <f t="shared" si="21"/>
        <v>248.04600000000005</v>
      </c>
      <c r="X49" s="33">
        <f t="shared" si="22"/>
        <v>0</v>
      </c>
      <c r="Y49" s="41">
        <f t="shared" si="23"/>
        <v>330.72800000000007</v>
      </c>
    </row>
    <row r="50" spans="1:25" s="4" customFormat="1" ht="9.9499999999999993" customHeight="1" x14ac:dyDescent="0.15">
      <c r="A50" s="62" t="s">
        <v>17</v>
      </c>
      <c r="B50" s="51">
        <v>0.95</v>
      </c>
      <c r="C50" s="93">
        <f t="shared" si="14"/>
        <v>440.47276460487114</v>
      </c>
      <c r="D50" s="89">
        <f t="shared" si="24"/>
        <v>440472.76460487116</v>
      </c>
      <c r="E50" s="76">
        <v>44909</v>
      </c>
      <c r="F50" s="89">
        <f t="shared" si="15"/>
        <v>432.20850000000002</v>
      </c>
      <c r="G50" s="7">
        <f>I50/2</f>
        <v>58500</v>
      </c>
      <c r="H50" s="76">
        <f t="shared" si="25"/>
        <v>432208.5</v>
      </c>
      <c r="I50" s="76">
        <v>117000</v>
      </c>
      <c r="J50" s="76"/>
      <c r="K50" s="89">
        <f t="shared" si="16"/>
        <v>576.27800000000002</v>
      </c>
      <c r="L50" s="76">
        <v>576278</v>
      </c>
      <c r="M50" s="43">
        <f t="shared" si="17"/>
        <v>-136.18700000000001</v>
      </c>
      <c r="N50" s="20">
        <f>26187+110000</f>
        <v>136187</v>
      </c>
      <c r="O50" s="102">
        <f t="shared" si="18"/>
        <v>-183.75</v>
      </c>
      <c r="P50" s="100">
        <f>S50*0.75</f>
        <v>183750</v>
      </c>
      <c r="Q50" s="100"/>
      <c r="R50" s="102">
        <f t="shared" si="19"/>
        <v>-245</v>
      </c>
      <c r="S50" s="100">
        <v>245000</v>
      </c>
      <c r="T50" s="7">
        <v>110000</v>
      </c>
      <c r="U50" s="83">
        <f>U8/B8*B50</f>
        <v>395563.76460487116</v>
      </c>
      <c r="V50" s="36">
        <f t="shared" si="20"/>
        <v>304.28576460487113</v>
      </c>
      <c r="W50" s="20">
        <f t="shared" si="21"/>
        <v>248.45850000000002</v>
      </c>
      <c r="X50" s="36">
        <f t="shared" si="22"/>
        <v>0</v>
      </c>
      <c r="Y50" s="43">
        <f t="shared" si="23"/>
        <v>331.27800000000002</v>
      </c>
    </row>
    <row r="51" spans="1:25" s="4" customFormat="1" ht="9.9499999999999993" customHeight="1" x14ac:dyDescent="0.15">
      <c r="A51" s="62" t="s">
        <v>18</v>
      </c>
      <c r="B51" s="51">
        <v>1</v>
      </c>
      <c r="C51" s="93">
        <f t="shared" si="14"/>
        <v>942.8809101103908</v>
      </c>
      <c r="D51" s="89">
        <f t="shared" si="24"/>
        <v>942880.91011039075</v>
      </c>
      <c r="E51" s="76">
        <v>526498</v>
      </c>
      <c r="F51" s="89">
        <f t="shared" si="15"/>
        <v>829.08749999999998</v>
      </c>
      <c r="G51" s="7">
        <f>I51/2</f>
        <v>311000</v>
      </c>
      <c r="H51" s="76">
        <f t="shared" si="25"/>
        <v>829087.5</v>
      </c>
      <c r="I51" s="76">
        <v>622000</v>
      </c>
      <c r="J51" s="76"/>
      <c r="K51" s="89">
        <f t="shared" si="16"/>
        <v>1105.45</v>
      </c>
      <c r="L51" s="76">
        <v>1105450</v>
      </c>
      <c r="M51" s="43">
        <f t="shared" si="17"/>
        <v>-1828.9929999999999</v>
      </c>
      <c r="N51" s="20">
        <f>1705541+123452</f>
        <v>1828993</v>
      </c>
      <c r="O51" s="102">
        <f t="shared" si="18"/>
        <v>-829.5</v>
      </c>
      <c r="P51" s="100">
        <f>S51*0.75</f>
        <v>829500</v>
      </c>
      <c r="Q51" s="100"/>
      <c r="R51" s="102">
        <f t="shared" si="19"/>
        <v>-1106</v>
      </c>
      <c r="S51" s="100">
        <v>1106000</v>
      </c>
      <c r="T51" s="7">
        <v>1705541</v>
      </c>
      <c r="U51" s="83">
        <f>U8/B8*B51</f>
        <v>416382.91011039069</v>
      </c>
      <c r="V51" s="36">
        <f t="shared" si="20"/>
        <v>-886.11208988960914</v>
      </c>
      <c r="W51" s="20">
        <f t="shared" si="21"/>
        <v>-0.41250000000002274</v>
      </c>
      <c r="X51" s="36">
        <f t="shared" si="22"/>
        <v>0</v>
      </c>
      <c r="Y51" s="43">
        <f t="shared" si="23"/>
        <v>-0.54999999999995453</v>
      </c>
    </row>
    <row r="52" spans="1:25" s="4" customFormat="1" ht="9.9499999999999993" customHeight="1" x14ac:dyDescent="0.15">
      <c r="A52" s="62" t="s">
        <v>108</v>
      </c>
      <c r="B52" s="51">
        <v>0</v>
      </c>
      <c r="C52" s="93">
        <f t="shared" ref="C52:C70" si="28">D52/1000</f>
        <v>10.502000000000001</v>
      </c>
      <c r="D52" s="89">
        <f t="shared" si="24"/>
        <v>10502</v>
      </c>
      <c r="E52" s="76">
        <v>10502</v>
      </c>
      <c r="F52" s="89">
        <f t="shared" ref="F52:F70" si="29">H52/1000</f>
        <v>0</v>
      </c>
      <c r="G52" s="7"/>
      <c r="H52" s="76">
        <f t="shared" si="25"/>
        <v>0</v>
      </c>
      <c r="I52" s="76">
        <v>0</v>
      </c>
      <c r="J52" s="76"/>
      <c r="K52" s="89">
        <f t="shared" ref="K52:K70" si="30">L52/1000</f>
        <v>0</v>
      </c>
      <c r="L52" s="76"/>
      <c r="M52" s="43">
        <f t="shared" ref="M52:M70" si="31">N52/1000*-1</f>
        <v>0</v>
      </c>
      <c r="N52" s="20"/>
      <c r="O52" s="102">
        <f t="shared" ref="O52:O70" si="32">P52/1000*-1</f>
        <v>0</v>
      </c>
      <c r="P52" s="100">
        <f>S52*0.75</f>
        <v>0</v>
      </c>
      <c r="Q52" s="100">
        <v>0</v>
      </c>
      <c r="R52" s="102">
        <f t="shared" ref="R52:R70" si="33">S52/1000*-1</f>
        <v>0</v>
      </c>
      <c r="S52" s="100"/>
      <c r="T52" s="7"/>
      <c r="U52" s="83"/>
      <c r="V52" s="36">
        <f t="shared" ref="V52:V70" si="34">C52+M52</f>
        <v>10.502000000000001</v>
      </c>
      <c r="W52" s="20">
        <f t="shared" ref="W52:W70" si="35">F52+O52</f>
        <v>0</v>
      </c>
      <c r="X52" s="36">
        <f t="shared" ref="X52:X70" si="36">J52+Q52</f>
        <v>0</v>
      </c>
      <c r="Y52" s="43">
        <f t="shared" ref="Y52:Y70" si="37">K52+R52</f>
        <v>0</v>
      </c>
    </row>
    <row r="53" spans="1:25" s="8" customFormat="1" ht="9.9499999999999993" customHeight="1" x14ac:dyDescent="0.15">
      <c r="A53" s="61" t="s">
        <v>63</v>
      </c>
      <c r="B53" s="49">
        <f>SUM(B54:B66)</f>
        <v>3.6500000000000008</v>
      </c>
      <c r="C53" s="92">
        <f t="shared" si="28"/>
        <v>3456.7773719029265</v>
      </c>
      <c r="D53" s="74">
        <f t="shared" ref="D53:D70" si="38">E53+U53</f>
        <v>3456777.3719029264</v>
      </c>
      <c r="E53" s="75">
        <f>SUM(E54:E66)</f>
        <v>1936979.75</v>
      </c>
      <c r="F53" s="74">
        <f t="shared" si="29"/>
        <v>4023.44625</v>
      </c>
      <c r="G53" s="3">
        <f>I53/2</f>
        <v>1800000</v>
      </c>
      <c r="H53" s="75">
        <f>H54+H55+H56+H57+H58+H59+H60+H61+H62+H63+H64+H66+H65</f>
        <v>4023446.25</v>
      </c>
      <c r="I53" s="75">
        <v>3600000</v>
      </c>
      <c r="J53" s="75">
        <f>J54+J55+J56+J57+J59+J58+J60+J61+J62+J63+J64+J65+J66</f>
        <v>0</v>
      </c>
      <c r="K53" s="74">
        <f t="shared" si="30"/>
        <v>5364.5950000000003</v>
      </c>
      <c r="L53" s="75">
        <f>SUM(L54:L66)</f>
        <v>5364595</v>
      </c>
      <c r="M53" s="41">
        <f t="shared" si="31"/>
        <v>-952.827</v>
      </c>
      <c r="N53" s="9">
        <f>SUM(N54:N66)</f>
        <v>952827</v>
      </c>
      <c r="O53" s="101">
        <f t="shared" si="32"/>
        <v>-2662.5</v>
      </c>
      <c r="P53" s="106">
        <f>SUM(P54:P66)</f>
        <v>2662500</v>
      </c>
      <c r="Q53" s="106">
        <f>Q54+Q55+Q56+Q57+Q58+Q59+Q60+Q61+Q62+Q63+Q65+Q64+Q66</f>
        <v>0</v>
      </c>
      <c r="R53" s="101">
        <f t="shared" si="33"/>
        <v>-3550</v>
      </c>
      <c r="S53" s="106">
        <f>SUM(S54:S66)</f>
        <v>3550000</v>
      </c>
      <c r="T53" s="3">
        <f>T57+T56+T62</f>
        <v>670279</v>
      </c>
      <c r="U53" s="82">
        <f>U8/B8*B53</f>
        <v>1519797.6219029264</v>
      </c>
      <c r="V53" s="33">
        <f t="shared" si="34"/>
        <v>2503.9503719029262</v>
      </c>
      <c r="W53" s="9">
        <f t="shared" si="35"/>
        <v>1360.94625</v>
      </c>
      <c r="X53" s="33">
        <f t="shared" si="36"/>
        <v>0</v>
      </c>
      <c r="Y53" s="41">
        <f t="shared" si="37"/>
        <v>1814.5950000000003</v>
      </c>
    </row>
    <row r="54" spans="1:25" s="4" customFormat="1" ht="9.9499999999999993" customHeight="1" x14ac:dyDescent="0.15">
      <c r="A54" s="62" t="s">
        <v>19</v>
      </c>
      <c r="B54" s="51">
        <v>1.61</v>
      </c>
      <c r="C54" s="93">
        <f t="shared" si="28"/>
        <v>731.26348527772905</v>
      </c>
      <c r="D54" s="89">
        <f t="shared" si="38"/>
        <v>731263.48527772899</v>
      </c>
      <c r="E54" s="76">
        <v>60887</v>
      </c>
      <c r="F54" s="89">
        <f t="shared" si="29"/>
        <v>761.51625000000001</v>
      </c>
      <c r="G54" s="7"/>
      <c r="H54" s="76">
        <f t="shared" ref="H54:H66" si="39">L54*0.75</f>
        <v>761516.25</v>
      </c>
      <c r="I54" s="76">
        <v>233000</v>
      </c>
      <c r="J54" s="76"/>
      <c r="K54" s="89">
        <f t="shared" si="30"/>
        <v>1015.355</v>
      </c>
      <c r="L54" s="76">
        <v>1015355</v>
      </c>
      <c r="M54" s="43">
        <f t="shared" si="31"/>
        <v>0</v>
      </c>
      <c r="N54" s="20"/>
      <c r="O54" s="102">
        <f t="shared" si="32"/>
        <v>-187.5</v>
      </c>
      <c r="P54" s="100">
        <f>S54*0.75</f>
        <v>187500</v>
      </c>
      <c r="Q54" s="100">
        <v>0</v>
      </c>
      <c r="R54" s="102">
        <f t="shared" si="33"/>
        <v>-250</v>
      </c>
      <c r="S54" s="100">
        <v>250000</v>
      </c>
      <c r="T54" s="7"/>
      <c r="U54" s="83">
        <f>U8/B8*B54</f>
        <v>670376.48527772899</v>
      </c>
      <c r="V54" s="36">
        <f t="shared" si="34"/>
        <v>731.26348527772905</v>
      </c>
      <c r="W54" s="20">
        <f t="shared" si="35"/>
        <v>574.01625000000001</v>
      </c>
      <c r="X54" s="36">
        <f t="shared" si="36"/>
        <v>0</v>
      </c>
      <c r="Y54" s="43">
        <f t="shared" si="37"/>
        <v>765.35500000000002</v>
      </c>
    </row>
    <row r="55" spans="1:25" s="4" customFormat="1" ht="9.9499999999999993" customHeight="1" x14ac:dyDescent="0.15">
      <c r="A55" s="62" t="s">
        <v>107</v>
      </c>
      <c r="B55" s="51">
        <v>0</v>
      </c>
      <c r="C55" s="93">
        <f t="shared" si="28"/>
        <v>26.571000000000002</v>
      </c>
      <c r="D55" s="89">
        <f t="shared" si="38"/>
        <v>26571</v>
      </c>
      <c r="E55" s="76">
        <v>26571</v>
      </c>
      <c r="F55" s="89">
        <f t="shared" si="29"/>
        <v>0</v>
      </c>
      <c r="G55" s="7"/>
      <c r="H55" s="76">
        <f t="shared" si="39"/>
        <v>0</v>
      </c>
      <c r="I55" s="76">
        <v>0</v>
      </c>
      <c r="J55" s="76"/>
      <c r="K55" s="89">
        <f t="shared" si="30"/>
        <v>0</v>
      </c>
      <c r="L55" s="76"/>
      <c r="M55" s="43">
        <f t="shared" si="31"/>
        <v>0</v>
      </c>
      <c r="N55" s="20"/>
      <c r="O55" s="102">
        <f t="shared" si="32"/>
        <v>0</v>
      </c>
      <c r="P55" s="100">
        <f t="shared" ref="P55:P66" si="40">S55*0.75</f>
        <v>0</v>
      </c>
      <c r="Q55" s="100">
        <v>0</v>
      </c>
      <c r="R55" s="102">
        <f t="shared" si="33"/>
        <v>0</v>
      </c>
      <c r="S55" s="100"/>
      <c r="T55" s="7"/>
      <c r="U55" s="83">
        <f>U8/B8*B55</f>
        <v>0</v>
      </c>
      <c r="V55" s="36">
        <f t="shared" si="34"/>
        <v>26.571000000000002</v>
      </c>
      <c r="W55" s="20">
        <f t="shared" si="35"/>
        <v>0</v>
      </c>
      <c r="X55" s="36">
        <f t="shared" si="36"/>
        <v>0</v>
      </c>
      <c r="Y55" s="43">
        <f t="shared" si="37"/>
        <v>0</v>
      </c>
    </row>
    <row r="56" spans="1:25" s="4" customFormat="1" ht="9.9499999999999993" customHeight="1" x14ac:dyDescent="0.15">
      <c r="A56" s="62" t="s">
        <v>20</v>
      </c>
      <c r="B56" s="51">
        <v>0.4</v>
      </c>
      <c r="C56" s="93">
        <f t="shared" si="28"/>
        <v>267.27016404415633</v>
      </c>
      <c r="D56" s="89">
        <f t="shared" si="38"/>
        <v>267270.16404415632</v>
      </c>
      <c r="E56" s="76">
        <v>100717</v>
      </c>
      <c r="F56" s="89">
        <f t="shared" si="29"/>
        <v>520.03499999999997</v>
      </c>
      <c r="G56" s="7"/>
      <c r="H56" s="76">
        <f t="shared" si="39"/>
        <v>520035</v>
      </c>
      <c r="I56" s="76">
        <v>500000</v>
      </c>
      <c r="J56" s="76"/>
      <c r="K56" s="89">
        <f t="shared" si="30"/>
        <v>693.38</v>
      </c>
      <c r="L56" s="76">
        <v>693380</v>
      </c>
      <c r="M56" s="43">
        <f t="shared" si="31"/>
        <v>-249.328</v>
      </c>
      <c r="N56" s="20">
        <f>225000+24328</f>
        <v>249328</v>
      </c>
      <c r="O56" s="102">
        <f t="shared" si="32"/>
        <v>-375</v>
      </c>
      <c r="P56" s="100">
        <f t="shared" si="40"/>
        <v>375000</v>
      </c>
      <c r="Q56" s="100"/>
      <c r="R56" s="102">
        <f t="shared" si="33"/>
        <v>-500</v>
      </c>
      <c r="S56" s="100">
        <v>500000</v>
      </c>
      <c r="T56" s="7">
        <f>225000+24328+123452</f>
        <v>372780</v>
      </c>
      <c r="U56" s="83">
        <f>U8/B8*B56</f>
        <v>166553.16404415629</v>
      </c>
      <c r="V56" s="36">
        <f t="shared" si="34"/>
        <v>17.942164044156328</v>
      </c>
      <c r="W56" s="20">
        <f t="shared" si="35"/>
        <v>145.03499999999997</v>
      </c>
      <c r="X56" s="36">
        <f t="shared" si="36"/>
        <v>0</v>
      </c>
      <c r="Y56" s="43">
        <f t="shared" si="37"/>
        <v>193.38</v>
      </c>
    </row>
    <row r="57" spans="1:25" s="4" customFormat="1" ht="9.9499999999999993" customHeight="1" x14ac:dyDescent="0.15">
      <c r="A57" s="62" t="s">
        <v>21</v>
      </c>
      <c r="B57" s="51">
        <v>0.35</v>
      </c>
      <c r="C57" s="93">
        <f t="shared" si="28"/>
        <v>935.31901853863678</v>
      </c>
      <c r="D57" s="89">
        <f t="shared" si="38"/>
        <v>935319.01853863674</v>
      </c>
      <c r="E57" s="76">
        <v>789585</v>
      </c>
      <c r="F57" s="89">
        <f t="shared" si="29"/>
        <v>1473.1559999999999</v>
      </c>
      <c r="G57" s="7"/>
      <c r="H57" s="76">
        <f t="shared" si="39"/>
        <v>1473156</v>
      </c>
      <c r="I57" s="76">
        <v>1795000</v>
      </c>
      <c r="J57" s="76"/>
      <c r="K57" s="89">
        <f t="shared" si="30"/>
        <v>1964.2080000000001</v>
      </c>
      <c r="L57" s="76">
        <v>1964208</v>
      </c>
      <c r="M57" s="43">
        <f t="shared" si="31"/>
        <v>-72.498999999999995</v>
      </c>
      <c r="N57" s="20">
        <f>74205-361-1345</f>
        <v>72499</v>
      </c>
      <c r="O57" s="102">
        <f t="shared" si="32"/>
        <v>-1500</v>
      </c>
      <c r="P57" s="100">
        <f t="shared" si="40"/>
        <v>1500000</v>
      </c>
      <c r="Q57" s="100"/>
      <c r="R57" s="102">
        <f t="shared" si="33"/>
        <v>-2000</v>
      </c>
      <c r="S57" s="100">
        <v>2000000</v>
      </c>
      <c r="T57" s="7">
        <f>74205-361-1345</f>
        <v>72499</v>
      </c>
      <c r="U57" s="83">
        <f>U8/B8*B57</f>
        <v>145734.01853863674</v>
      </c>
      <c r="V57" s="36">
        <f t="shared" si="34"/>
        <v>862.82001853863676</v>
      </c>
      <c r="W57" s="20">
        <f t="shared" si="35"/>
        <v>-26.844000000000051</v>
      </c>
      <c r="X57" s="36">
        <f t="shared" si="36"/>
        <v>0</v>
      </c>
      <c r="Y57" s="43">
        <f t="shared" si="37"/>
        <v>-35.791999999999916</v>
      </c>
    </row>
    <row r="58" spans="1:25" s="4" customFormat="1" ht="9.9499999999999993" customHeight="1" x14ac:dyDescent="0.15">
      <c r="A58" s="62" t="s">
        <v>117</v>
      </c>
      <c r="B58" s="51"/>
      <c r="C58" s="93">
        <f t="shared" si="28"/>
        <v>274.89800000000002</v>
      </c>
      <c r="D58" s="89">
        <f t="shared" si="38"/>
        <v>274898</v>
      </c>
      <c r="E58" s="76">
        <v>274898</v>
      </c>
      <c r="F58" s="89">
        <f t="shared" si="29"/>
        <v>0</v>
      </c>
      <c r="G58" s="7"/>
      <c r="H58" s="76">
        <f t="shared" si="39"/>
        <v>0</v>
      </c>
      <c r="I58" s="76"/>
      <c r="J58" s="76"/>
      <c r="K58" s="89">
        <f t="shared" si="30"/>
        <v>0</v>
      </c>
      <c r="L58" s="76"/>
      <c r="M58" s="43">
        <f t="shared" si="31"/>
        <v>0</v>
      </c>
      <c r="N58" s="20"/>
      <c r="O58" s="102">
        <f t="shared" si="32"/>
        <v>-375</v>
      </c>
      <c r="P58" s="100">
        <f t="shared" si="40"/>
        <v>375000</v>
      </c>
      <c r="Q58" s="100">
        <v>0</v>
      </c>
      <c r="R58" s="102">
        <f t="shared" si="33"/>
        <v>-500</v>
      </c>
      <c r="S58" s="100">
        <v>500000</v>
      </c>
      <c r="T58" s="7"/>
      <c r="U58" s="83"/>
      <c r="V58" s="36">
        <f t="shared" si="34"/>
        <v>274.89800000000002</v>
      </c>
      <c r="W58" s="20">
        <f t="shared" si="35"/>
        <v>-375</v>
      </c>
      <c r="X58" s="36">
        <f t="shared" si="36"/>
        <v>0</v>
      </c>
      <c r="Y58" s="43">
        <f t="shared" si="37"/>
        <v>-500</v>
      </c>
    </row>
    <row r="59" spans="1:25" s="4" customFormat="1" ht="9.9499999999999993" customHeight="1" x14ac:dyDescent="0.15">
      <c r="A59" s="62" t="s">
        <v>106</v>
      </c>
      <c r="B59" s="51"/>
      <c r="C59" s="93">
        <f t="shared" si="28"/>
        <v>7.8040000000000003</v>
      </c>
      <c r="D59" s="89">
        <f t="shared" si="38"/>
        <v>7804</v>
      </c>
      <c r="E59" s="76">
        <v>7804</v>
      </c>
      <c r="F59" s="89">
        <f t="shared" si="29"/>
        <v>0</v>
      </c>
      <c r="G59" s="7"/>
      <c r="H59" s="76">
        <f t="shared" si="39"/>
        <v>0</v>
      </c>
      <c r="I59" s="76"/>
      <c r="J59" s="76"/>
      <c r="K59" s="89">
        <f t="shared" si="30"/>
        <v>0</v>
      </c>
      <c r="L59" s="76"/>
      <c r="M59" s="43">
        <f t="shared" si="31"/>
        <v>0</v>
      </c>
      <c r="N59" s="20"/>
      <c r="O59" s="102">
        <f t="shared" si="32"/>
        <v>0</v>
      </c>
      <c r="P59" s="100">
        <f t="shared" si="40"/>
        <v>0</v>
      </c>
      <c r="Q59" s="100">
        <v>0</v>
      </c>
      <c r="R59" s="102">
        <f t="shared" si="33"/>
        <v>0</v>
      </c>
      <c r="S59" s="100"/>
      <c r="T59" s="7"/>
      <c r="U59" s="83"/>
      <c r="V59" s="36">
        <f t="shared" si="34"/>
        <v>7.8040000000000003</v>
      </c>
      <c r="W59" s="20">
        <f t="shared" si="35"/>
        <v>0</v>
      </c>
      <c r="X59" s="36">
        <f t="shared" si="36"/>
        <v>0</v>
      </c>
      <c r="Y59" s="43">
        <f t="shared" si="37"/>
        <v>0</v>
      </c>
    </row>
    <row r="60" spans="1:25" s="4" customFormat="1" ht="9.9499999999999993" customHeight="1" x14ac:dyDescent="0.15">
      <c r="A60" s="62" t="s">
        <v>105</v>
      </c>
      <c r="B60" s="51"/>
      <c r="C60" s="93">
        <f t="shared" si="28"/>
        <v>50</v>
      </c>
      <c r="D60" s="89">
        <f t="shared" si="38"/>
        <v>50000</v>
      </c>
      <c r="E60" s="76">
        <v>50000</v>
      </c>
      <c r="F60" s="89">
        <f t="shared" si="29"/>
        <v>0</v>
      </c>
      <c r="G60" s="7"/>
      <c r="H60" s="76">
        <f t="shared" si="39"/>
        <v>0</v>
      </c>
      <c r="I60" s="76"/>
      <c r="J60" s="76"/>
      <c r="K60" s="89">
        <f t="shared" si="30"/>
        <v>0</v>
      </c>
      <c r="L60" s="76"/>
      <c r="M60" s="43">
        <f t="shared" si="31"/>
        <v>0</v>
      </c>
      <c r="N60" s="20"/>
      <c r="O60" s="102">
        <f t="shared" si="32"/>
        <v>0</v>
      </c>
      <c r="P60" s="100">
        <f t="shared" si="40"/>
        <v>0</v>
      </c>
      <c r="Q60" s="100">
        <v>0</v>
      </c>
      <c r="R60" s="102">
        <f t="shared" si="33"/>
        <v>0</v>
      </c>
      <c r="S60" s="100"/>
      <c r="T60" s="7"/>
      <c r="U60" s="83"/>
      <c r="V60" s="36">
        <f t="shared" si="34"/>
        <v>50</v>
      </c>
      <c r="W60" s="20">
        <f t="shared" si="35"/>
        <v>0</v>
      </c>
      <c r="X60" s="36">
        <f t="shared" si="36"/>
        <v>0</v>
      </c>
      <c r="Y60" s="43">
        <f t="shared" si="37"/>
        <v>0</v>
      </c>
    </row>
    <row r="61" spans="1:25" s="4" customFormat="1" ht="9.9499999999999993" customHeight="1" x14ac:dyDescent="0.15">
      <c r="A61" s="62" t="s">
        <v>103</v>
      </c>
      <c r="B61" s="51">
        <v>0.45</v>
      </c>
      <c r="C61" s="93">
        <f t="shared" si="28"/>
        <v>436.6143095496758</v>
      </c>
      <c r="D61" s="89">
        <f t="shared" si="38"/>
        <v>436614.30954967579</v>
      </c>
      <c r="E61" s="76">
        <v>249242</v>
      </c>
      <c r="F61" s="89">
        <f t="shared" si="29"/>
        <v>619.16475000000003</v>
      </c>
      <c r="G61" s="7"/>
      <c r="H61" s="76">
        <f t="shared" si="39"/>
        <v>619164.75</v>
      </c>
      <c r="I61" s="76">
        <v>608000</v>
      </c>
      <c r="J61" s="76"/>
      <c r="K61" s="89">
        <f t="shared" si="30"/>
        <v>825.553</v>
      </c>
      <c r="L61" s="76">
        <v>825553</v>
      </c>
      <c r="M61" s="43">
        <f t="shared" si="31"/>
        <v>-250</v>
      </c>
      <c r="N61" s="20">
        <v>250000</v>
      </c>
      <c r="O61" s="102">
        <f t="shared" si="32"/>
        <v>0</v>
      </c>
      <c r="P61" s="100">
        <f t="shared" si="40"/>
        <v>0</v>
      </c>
      <c r="Q61" s="100"/>
      <c r="R61" s="102">
        <f t="shared" si="33"/>
        <v>0</v>
      </c>
      <c r="S61" s="100"/>
      <c r="T61" s="7">
        <v>250000</v>
      </c>
      <c r="U61" s="83">
        <f>U8/B8*B61</f>
        <v>187372.30954967582</v>
      </c>
      <c r="V61" s="36">
        <f t="shared" si="34"/>
        <v>186.6143095496758</v>
      </c>
      <c r="W61" s="20">
        <f t="shared" si="35"/>
        <v>619.16475000000003</v>
      </c>
      <c r="X61" s="36">
        <f t="shared" si="36"/>
        <v>0</v>
      </c>
      <c r="Y61" s="43">
        <f t="shared" si="37"/>
        <v>825.553</v>
      </c>
    </row>
    <row r="62" spans="1:25" s="4" customFormat="1" ht="9.9499999999999993" customHeight="1" x14ac:dyDescent="0.15">
      <c r="A62" s="62" t="s">
        <v>104</v>
      </c>
      <c r="B62" s="51"/>
      <c r="C62" s="93">
        <f t="shared" si="28"/>
        <v>201.489</v>
      </c>
      <c r="D62" s="89">
        <f t="shared" si="38"/>
        <v>201489</v>
      </c>
      <c r="E62" s="76">
        <v>201489</v>
      </c>
      <c r="F62" s="89">
        <f t="shared" si="29"/>
        <v>0</v>
      </c>
      <c r="G62" s="7" t="s">
        <v>33</v>
      </c>
      <c r="H62" s="76">
        <f t="shared" si="39"/>
        <v>0</v>
      </c>
      <c r="I62" s="76">
        <v>0</v>
      </c>
      <c r="J62" s="76"/>
      <c r="K62" s="89">
        <f t="shared" si="30"/>
        <v>0</v>
      </c>
      <c r="L62" s="76"/>
      <c r="M62" s="43">
        <f t="shared" si="31"/>
        <v>-225</v>
      </c>
      <c r="N62" s="20">
        <v>225000</v>
      </c>
      <c r="O62" s="102">
        <f t="shared" si="32"/>
        <v>0</v>
      </c>
      <c r="P62" s="100">
        <f t="shared" si="40"/>
        <v>0</v>
      </c>
      <c r="Q62" s="100">
        <v>0</v>
      </c>
      <c r="R62" s="102">
        <f t="shared" si="33"/>
        <v>0</v>
      </c>
      <c r="S62" s="100"/>
      <c r="T62" s="7">
        <v>225000</v>
      </c>
      <c r="U62" s="83"/>
      <c r="V62" s="36">
        <f t="shared" si="34"/>
        <v>-23.510999999999996</v>
      </c>
      <c r="W62" s="20">
        <f t="shared" si="35"/>
        <v>0</v>
      </c>
      <c r="X62" s="36">
        <f t="shared" si="36"/>
        <v>0</v>
      </c>
      <c r="Y62" s="43">
        <f t="shared" si="37"/>
        <v>0</v>
      </c>
    </row>
    <row r="63" spans="1:25" s="4" customFormat="1" ht="9.9499999999999993" customHeight="1" x14ac:dyDescent="0.15">
      <c r="A63" s="62" t="s">
        <v>118</v>
      </c>
      <c r="B63" s="51">
        <v>0.39</v>
      </c>
      <c r="C63" s="93">
        <f t="shared" si="28"/>
        <v>176.73333494305237</v>
      </c>
      <c r="D63" s="89">
        <f t="shared" si="38"/>
        <v>176733.33494305238</v>
      </c>
      <c r="E63" s="76">
        <v>14344</v>
      </c>
      <c r="F63" s="89">
        <f t="shared" si="29"/>
        <v>141.40950000000001</v>
      </c>
      <c r="G63" s="7"/>
      <c r="H63" s="76">
        <f t="shared" si="39"/>
        <v>141409.5</v>
      </c>
      <c r="I63" s="76">
        <v>0</v>
      </c>
      <c r="J63" s="76"/>
      <c r="K63" s="89">
        <f t="shared" si="30"/>
        <v>188.54599999999999</v>
      </c>
      <c r="L63" s="76">
        <v>188546</v>
      </c>
      <c r="M63" s="43">
        <f t="shared" si="31"/>
        <v>0</v>
      </c>
      <c r="N63" s="20"/>
      <c r="O63" s="102">
        <f t="shared" si="32"/>
        <v>0</v>
      </c>
      <c r="P63" s="100">
        <f t="shared" si="40"/>
        <v>0</v>
      </c>
      <c r="Q63" s="100">
        <v>0</v>
      </c>
      <c r="R63" s="102">
        <f t="shared" si="33"/>
        <v>0</v>
      </c>
      <c r="S63" s="100"/>
      <c r="T63" s="7"/>
      <c r="U63" s="83">
        <f>U8/B8*B63</f>
        <v>162389.33494305238</v>
      </c>
      <c r="V63" s="36">
        <f t="shared" si="34"/>
        <v>176.73333494305237</v>
      </c>
      <c r="W63" s="20">
        <f t="shared" si="35"/>
        <v>141.40950000000001</v>
      </c>
      <c r="X63" s="36">
        <f t="shared" si="36"/>
        <v>0</v>
      </c>
      <c r="Y63" s="43">
        <f t="shared" si="37"/>
        <v>188.54599999999999</v>
      </c>
    </row>
    <row r="64" spans="1:25" s="4" customFormat="1" ht="9.9499999999999993" customHeight="1" x14ac:dyDescent="0.15">
      <c r="A64" s="62" t="s">
        <v>110</v>
      </c>
      <c r="B64" s="51">
        <v>0</v>
      </c>
      <c r="C64" s="93">
        <f t="shared" si="28"/>
        <v>60</v>
      </c>
      <c r="D64" s="89">
        <f t="shared" si="38"/>
        <v>60000</v>
      </c>
      <c r="E64" s="76">
        <v>60000</v>
      </c>
      <c r="F64" s="89">
        <f t="shared" si="29"/>
        <v>37.5</v>
      </c>
      <c r="G64" s="7"/>
      <c r="H64" s="76">
        <f t="shared" si="39"/>
        <v>37500</v>
      </c>
      <c r="I64" s="76">
        <v>50000</v>
      </c>
      <c r="J64" s="76"/>
      <c r="K64" s="89">
        <f t="shared" si="30"/>
        <v>50</v>
      </c>
      <c r="L64" s="76">
        <v>50000</v>
      </c>
      <c r="M64" s="43">
        <f t="shared" si="31"/>
        <v>0</v>
      </c>
      <c r="N64" s="20"/>
      <c r="O64" s="102">
        <f t="shared" si="32"/>
        <v>0</v>
      </c>
      <c r="P64" s="100">
        <f t="shared" si="40"/>
        <v>0</v>
      </c>
      <c r="Q64" s="100">
        <v>0</v>
      </c>
      <c r="R64" s="102">
        <f t="shared" si="33"/>
        <v>0</v>
      </c>
      <c r="S64" s="100"/>
      <c r="T64" s="7"/>
      <c r="U64" s="83"/>
      <c r="V64" s="36">
        <f t="shared" si="34"/>
        <v>60</v>
      </c>
      <c r="W64" s="20">
        <f t="shared" si="35"/>
        <v>37.5</v>
      </c>
      <c r="X64" s="36">
        <f t="shared" si="36"/>
        <v>0</v>
      </c>
      <c r="Y64" s="43">
        <f t="shared" si="37"/>
        <v>50</v>
      </c>
    </row>
    <row r="65" spans="1:40" s="4" customFormat="1" ht="9.9499999999999993" customHeight="1" x14ac:dyDescent="0.15">
      <c r="A65" s="62" t="s">
        <v>93</v>
      </c>
      <c r="B65" s="51">
        <v>0.35</v>
      </c>
      <c r="C65" s="93">
        <f t="shared" si="28"/>
        <v>246.31501853863674</v>
      </c>
      <c r="D65" s="89">
        <f t="shared" si="38"/>
        <v>246315.01853863674</v>
      </c>
      <c r="E65" s="76">
        <v>100581</v>
      </c>
      <c r="F65" s="89">
        <f t="shared" si="29"/>
        <v>434.40600000000001</v>
      </c>
      <c r="G65" s="7"/>
      <c r="H65" s="76">
        <f t="shared" si="39"/>
        <v>434406</v>
      </c>
      <c r="I65" s="76">
        <v>410000</v>
      </c>
      <c r="J65" s="76"/>
      <c r="K65" s="89">
        <f t="shared" si="30"/>
        <v>579.20799999999997</v>
      </c>
      <c r="L65" s="76">
        <v>579208</v>
      </c>
      <c r="M65" s="43">
        <f t="shared" si="31"/>
        <v>-156</v>
      </c>
      <c r="N65" s="20">
        <v>156000</v>
      </c>
      <c r="O65" s="102">
        <f t="shared" si="32"/>
        <v>-225</v>
      </c>
      <c r="P65" s="100">
        <f t="shared" si="40"/>
        <v>225000</v>
      </c>
      <c r="Q65" s="100"/>
      <c r="R65" s="102">
        <f t="shared" si="33"/>
        <v>-300</v>
      </c>
      <c r="S65" s="100">
        <v>300000</v>
      </c>
      <c r="T65" s="7">
        <v>156000</v>
      </c>
      <c r="U65" s="83">
        <f>U8/B8*B65</f>
        <v>145734.01853863674</v>
      </c>
      <c r="V65" s="36">
        <f t="shared" si="34"/>
        <v>90.315018538636735</v>
      </c>
      <c r="W65" s="20">
        <f t="shared" si="35"/>
        <v>209.40600000000001</v>
      </c>
      <c r="X65" s="36">
        <f t="shared" si="36"/>
        <v>0</v>
      </c>
      <c r="Y65" s="43">
        <f t="shared" si="37"/>
        <v>279.20799999999997</v>
      </c>
    </row>
    <row r="66" spans="1:40" s="4" customFormat="1" ht="9.9499999999999993" customHeight="1" x14ac:dyDescent="0.15">
      <c r="A66" s="62" t="s">
        <v>94</v>
      </c>
      <c r="B66" s="51">
        <v>0.1</v>
      </c>
      <c r="C66" s="93">
        <f t="shared" si="28"/>
        <v>42.500041011039073</v>
      </c>
      <c r="D66" s="89">
        <f t="shared" si="38"/>
        <v>42500.041011039073</v>
      </c>
      <c r="E66" s="76">
        <f>658+203.75</f>
        <v>861.75</v>
      </c>
      <c r="F66" s="89">
        <f t="shared" si="29"/>
        <v>36.258749999999999</v>
      </c>
      <c r="G66" s="7"/>
      <c r="H66" s="76">
        <f t="shared" si="39"/>
        <v>36258.75</v>
      </c>
      <c r="I66" s="76">
        <v>0</v>
      </c>
      <c r="J66" s="76"/>
      <c r="K66" s="89">
        <f t="shared" si="30"/>
        <v>48.344999999999999</v>
      </c>
      <c r="L66" s="76">
        <v>48345</v>
      </c>
      <c r="M66" s="43">
        <f t="shared" si="31"/>
        <v>0</v>
      </c>
      <c r="N66" s="20"/>
      <c r="O66" s="102">
        <f t="shared" si="32"/>
        <v>0</v>
      </c>
      <c r="P66" s="100">
        <f t="shared" si="40"/>
        <v>0</v>
      </c>
      <c r="Q66" s="100">
        <v>0</v>
      </c>
      <c r="R66" s="102">
        <f t="shared" si="33"/>
        <v>0</v>
      </c>
      <c r="S66" s="100"/>
      <c r="T66" s="7"/>
      <c r="U66" s="83">
        <f>U8/B8*B66</f>
        <v>41638.291011039073</v>
      </c>
      <c r="V66" s="36">
        <f t="shared" si="34"/>
        <v>42.500041011039073</v>
      </c>
      <c r="W66" s="20">
        <f t="shared" si="35"/>
        <v>36.258749999999999</v>
      </c>
      <c r="X66" s="36">
        <f t="shared" si="36"/>
        <v>0</v>
      </c>
      <c r="Y66" s="43">
        <f t="shared" si="37"/>
        <v>48.344999999999999</v>
      </c>
    </row>
    <row r="67" spans="1:40" s="8" customFormat="1" ht="9.9499999999999993" customHeight="1" x14ac:dyDescent="0.15">
      <c r="A67" s="61" t="s">
        <v>64</v>
      </c>
      <c r="B67" s="49">
        <f>SUM(B68:B70)</f>
        <v>0.3</v>
      </c>
      <c r="C67" s="92">
        <f t="shared" si="28"/>
        <v>128.33389303311719</v>
      </c>
      <c r="D67" s="74">
        <f t="shared" si="38"/>
        <v>128333.8930331172</v>
      </c>
      <c r="E67" s="75">
        <f>E68+E69+E70</f>
        <v>3419.02</v>
      </c>
      <c r="F67" s="74">
        <f t="shared" si="29"/>
        <v>183.77699999999999</v>
      </c>
      <c r="G67" s="3">
        <f>I67/2</f>
        <v>50000</v>
      </c>
      <c r="H67" s="75">
        <f>H68+H69+H70</f>
        <v>183777</v>
      </c>
      <c r="I67" s="75">
        <v>100000</v>
      </c>
      <c r="J67" s="75">
        <f>J68+J69+J70</f>
        <v>0</v>
      </c>
      <c r="K67" s="74">
        <f t="shared" si="30"/>
        <v>245.036</v>
      </c>
      <c r="L67" s="75">
        <f>L68+L69+L70</f>
        <v>245036</v>
      </c>
      <c r="M67" s="41">
        <f t="shared" si="31"/>
        <v>0</v>
      </c>
      <c r="N67" s="9"/>
      <c r="O67" s="101">
        <f t="shared" si="32"/>
        <v>0</v>
      </c>
      <c r="P67" s="106">
        <f>S67*0.75</f>
        <v>0</v>
      </c>
      <c r="Q67" s="106">
        <v>0</v>
      </c>
      <c r="R67" s="101">
        <f t="shared" si="33"/>
        <v>0</v>
      </c>
      <c r="S67" s="106"/>
      <c r="T67" s="3"/>
      <c r="U67" s="82">
        <f>U8/B8*B67</f>
        <v>124914.8730331172</v>
      </c>
      <c r="V67" s="33">
        <f t="shared" si="34"/>
        <v>128.33389303311719</v>
      </c>
      <c r="W67" s="9">
        <f t="shared" si="35"/>
        <v>183.77699999999999</v>
      </c>
      <c r="X67" s="33">
        <f t="shared" si="36"/>
        <v>0</v>
      </c>
      <c r="Y67" s="41">
        <f t="shared" si="37"/>
        <v>245.036</v>
      </c>
    </row>
    <row r="68" spans="1:40" s="4" customFormat="1" ht="9.9499999999999993" customHeight="1" x14ac:dyDescent="0.15">
      <c r="A68" s="62" t="s">
        <v>35</v>
      </c>
      <c r="B68" s="51">
        <v>0.05</v>
      </c>
      <c r="C68" s="93">
        <f t="shared" si="28"/>
        <v>20.819145505519536</v>
      </c>
      <c r="D68" s="89">
        <f t="shared" si="38"/>
        <v>20819.145505519537</v>
      </c>
      <c r="E68" s="76">
        <v>0</v>
      </c>
      <c r="F68" s="89">
        <f t="shared" si="29"/>
        <v>93.129750000000001</v>
      </c>
      <c r="G68" s="7">
        <v>50000</v>
      </c>
      <c r="H68" s="76">
        <f>L68*0.75</f>
        <v>93129.75</v>
      </c>
      <c r="I68" s="76">
        <v>100000</v>
      </c>
      <c r="J68" s="76"/>
      <c r="K68" s="89">
        <f t="shared" si="30"/>
        <v>124.173</v>
      </c>
      <c r="L68" s="76">
        <v>124173</v>
      </c>
      <c r="M68" s="43">
        <f t="shared" si="31"/>
        <v>0</v>
      </c>
      <c r="N68" s="20"/>
      <c r="O68" s="102">
        <f t="shared" si="32"/>
        <v>0</v>
      </c>
      <c r="P68" s="106">
        <f>S68*0.75</f>
        <v>0</v>
      </c>
      <c r="Q68" s="100">
        <v>0</v>
      </c>
      <c r="R68" s="102">
        <f t="shared" si="33"/>
        <v>0</v>
      </c>
      <c r="S68" s="100"/>
      <c r="T68" s="7"/>
      <c r="U68" s="83">
        <f>U8/B8*B68</f>
        <v>20819.145505519537</v>
      </c>
      <c r="V68" s="36">
        <f t="shared" si="34"/>
        <v>20.819145505519536</v>
      </c>
      <c r="W68" s="20">
        <f t="shared" si="35"/>
        <v>93.129750000000001</v>
      </c>
      <c r="X68" s="36">
        <f t="shared" si="36"/>
        <v>0</v>
      </c>
      <c r="Y68" s="43">
        <f t="shared" si="37"/>
        <v>124.173</v>
      </c>
    </row>
    <row r="69" spans="1:40" s="4" customFormat="1" ht="9.9499999999999993" customHeight="1" x14ac:dyDescent="0.15">
      <c r="A69" s="62" t="s">
        <v>22</v>
      </c>
      <c r="B69" s="51">
        <v>0</v>
      </c>
      <c r="C69" s="93">
        <f t="shared" si="28"/>
        <v>3.4190200000000002</v>
      </c>
      <c r="D69" s="89">
        <f t="shared" si="38"/>
        <v>3419.02</v>
      </c>
      <c r="E69" s="76">
        <f>3298.02+121</f>
        <v>3419.02</v>
      </c>
      <c r="F69" s="89">
        <f t="shared" si="29"/>
        <v>0</v>
      </c>
      <c r="G69" s="7">
        <v>0</v>
      </c>
      <c r="H69" s="76">
        <f>L69*0.75</f>
        <v>0</v>
      </c>
      <c r="I69" s="76">
        <v>0</v>
      </c>
      <c r="J69" s="76"/>
      <c r="K69" s="89">
        <f t="shared" si="30"/>
        <v>0</v>
      </c>
      <c r="L69" s="76"/>
      <c r="M69" s="43">
        <f t="shared" si="31"/>
        <v>0</v>
      </c>
      <c r="N69" s="20"/>
      <c r="O69" s="102">
        <f t="shared" si="32"/>
        <v>0</v>
      </c>
      <c r="P69" s="106">
        <f>S69*0.75</f>
        <v>0</v>
      </c>
      <c r="Q69" s="100">
        <v>0</v>
      </c>
      <c r="R69" s="102">
        <f t="shared" si="33"/>
        <v>0</v>
      </c>
      <c r="S69" s="100"/>
      <c r="T69" s="7"/>
      <c r="U69" s="83"/>
      <c r="V69" s="36">
        <f t="shared" si="34"/>
        <v>3.4190200000000002</v>
      </c>
      <c r="W69" s="20">
        <f t="shared" si="35"/>
        <v>0</v>
      </c>
      <c r="X69" s="36">
        <f t="shared" si="36"/>
        <v>0</v>
      </c>
      <c r="Y69" s="43">
        <f t="shared" si="37"/>
        <v>0</v>
      </c>
    </row>
    <row r="70" spans="1:40" s="4" customFormat="1" ht="9.9499999999999993" customHeight="1" x14ac:dyDescent="0.15">
      <c r="A70" s="62" t="s">
        <v>37</v>
      </c>
      <c r="B70" s="51">
        <v>0.25</v>
      </c>
      <c r="C70" s="93">
        <f t="shared" si="28"/>
        <v>104.09572752759767</v>
      </c>
      <c r="D70" s="89">
        <f t="shared" si="38"/>
        <v>104095.72752759767</v>
      </c>
      <c r="E70" s="76"/>
      <c r="F70" s="89">
        <f t="shared" si="29"/>
        <v>90.64725</v>
      </c>
      <c r="G70" s="7"/>
      <c r="H70" s="76">
        <f>L70*0.75</f>
        <v>90647.25</v>
      </c>
      <c r="I70" s="76"/>
      <c r="J70" s="76"/>
      <c r="K70" s="89">
        <f t="shared" si="30"/>
        <v>120.863</v>
      </c>
      <c r="L70" s="76">
        <f>48345+72518</f>
        <v>120863</v>
      </c>
      <c r="M70" s="43">
        <f t="shared" si="31"/>
        <v>0</v>
      </c>
      <c r="N70" s="20"/>
      <c r="O70" s="102">
        <f t="shared" si="32"/>
        <v>0</v>
      </c>
      <c r="P70" s="106">
        <f>S70*0.75</f>
        <v>0</v>
      </c>
      <c r="Q70" s="100">
        <v>0</v>
      </c>
      <c r="R70" s="102">
        <f t="shared" si="33"/>
        <v>0</v>
      </c>
      <c r="S70" s="100"/>
      <c r="T70" s="7"/>
      <c r="U70" s="83">
        <f>U8/B8*B70</f>
        <v>104095.72752759767</v>
      </c>
      <c r="V70" s="36">
        <f t="shared" si="34"/>
        <v>104.09572752759767</v>
      </c>
      <c r="W70" s="20">
        <f t="shared" si="35"/>
        <v>90.64725</v>
      </c>
      <c r="X70" s="36">
        <f t="shared" si="36"/>
        <v>0</v>
      </c>
      <c r="Y70" s="43">
        <f t="shared" si="37"/>
        <v>120.863</v>
      </c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s="4" customFormat="1" ht="9" customHeight="1" x14ac:dyDescent="0.15">
      <c r="A71" s="62"/>
      <c r="B71" s="51"/>
      <c r="C71" s="92"/>
      <c r="D71" s="74"/>
      <c r="E71" s="76"/>
      <c r="F71" s="74"/>
      <c r="G71" s="7"/>
      <c r="H71" s="76"/>
      <c r="I71" s="76"/>
      <c r="J71" s="76"/>
      <c r="K71" s="74"/>
      <c r="L71" s="76"/>
      <c r="M71" s="43"/>
      <c r="N71" s="20"/>
      <c r="O71" s="102"/>
      <c r="P71" s="100"/>
      <c r="Q71" s="100"/>
      <c r="R71" s="102"/>
      <c r="S71" s="100"/>
      <c r="T71" s="7"/>
      <c r="U71" s="83"/>
      <c r="V71" s="36"/>
      <c r="W71" s="20"/>
      <c r="X71" s="36"/>
      <c r="Y71" s="41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s="12" customFormat="1" x14ac:dyDescent="0.15">
      <c r="A72" s="60" t="s">
        <v>83</v>
      </c>
      <c r="B72" s="53">
        <f>B73+B84</f>
        <v>8.7799999999999994</v>
      </c>
      <c r="C72" s="92">
        <f t="shared" ref="C72:C93" si="41">D72/1000</f>
        <v>6625.9959507692311</v>
      </c>
      <c r="D72" s="74">
        <f>D73+D84</f>
        <v>6625995.9507692307</v>
      </c>
      <c r="E72" s="74">
        <f>E73+E84</f>
        <v>2970154</v>
      </c>
      <c r="F72" s="74">
        <f>H72/1000</f>
        <v>8299.5329999999994</v>
      </c>
      <c r="G72" s="25">
        <f>G73+G84</f>
        <v>3410675</v>
      </c>
      <c r="H72" s="74">
        <f>H73+H84</f>
        <v>8299533</v>
      </c>
      <c r="I72" s="74">
        <f>I73+I84</f>
        <v>6821350</v>
      </c>
      <c r="J72" s="74">
        <f>J73+J84</f>
        <v>0</v>
      </c>
      <c r="K72" s="74">
        <f>L72/1000</f>
        <v>11066.044</v>
      </c>
      <c r="L72" s="96">
        <f>L73+L84</f>
        <v>11066044</v>
      </c>
      <c r="M72" s="25">
        <f t="shared" ref="M72:M93" si="42">N72/1000*-1</f>
        <v>-34.938000000000002</v>
      </c>
      <c r="N72" s="25">
        <f>N73+N84</f>
        <v>34938</v>
      </c>
      <c r="O72" s="101">
        <f t="shared" ref="O72:O93" si="43">P72/1000*-1</f>
        <v>0</v>
      </c>
      <c r="P72" s="101">
        <f>P73+P84</f>
        <v>0</v>
      </c>
      <c r="Q72" s="101">
        <v>0</v>
      </c>
      <c r="R72" s="101">
        <f t="shared" ref="R72:R93" si="44">S72/1000*-1</f>
        <v>0</v>
      </c>
      <c r="S72" s="107">
        <f>S73+S84</f>
        <v>0</v>
      </c>
      <c r="T72" s="10">
        <f>T73+T84</f>
        <v>34938</v>
      </c>
      <c r="U72" s="84">
        <f>U73+U84</f>
        <v>3655841.9507692298</v>
      </c>
      <c r="V72" s="24">
        <f t="shared" ref="V72:V93" si="45">C72+M72</f>
        <v>6591.057950769231</v>
      </c>
      <c r="W72" s="24">
        <f t="shared" ref="W72:W93" si="46">F72+O72</f>
        <v>8299.5329999999994</v>
      </c>
      <c r="X72" s="24">
        <f t="shared" ref="X72:X93" si="47">J72+Q72</f>
        <v>0</v>
      </c>
      <c r="Y72" s="25">
        <f t="shared" ref="Y72:Y93" si="48">K72+R72</f>
        <v>11066.044</v>
      </c>
    </row>
    <row r="73" spans="1:40" s="8" customFormat="1" ht="9.9499999999999993" customHeight="1" x14ac:dyDescent="0.15">
      <c r="A73" s="61" t="s">
        <v>65</v>
      </c>
      <c r="B73" s="49">
        <f>SUM(B74:B83)</f>
        <v>5.68</v>
      </c>
      <c r="C73" s="92">
        <f t="shared" si="41"/>
        <v>3124.9279294270191</v>
      </c>
      <c r="D73" s="74">
        <f>E73+U73</f>
        <v>3124927.9294270189</v>
      </c>
      <c r="E73" s="75">
        <f>SUM(E74:E83)</f>
        <v>759873</v>
      </c>
      <c r="F73" s="74">
        <f>H73/1000</f>
        <v>3434.2485000000001</v>
      </c>
      <c r="G73" s="3">
        <f>I73/2</f>
        <v>916500</v>
      </c>
      <c r="H73" s="75">
        <f t="shared" ref="H73:H93" si="49">L73*0.75</f>
        <v>3434248.5</v>
      </c>
      <c r="I73" s="75">
        <v>1833000</v>
      </c>
      <c r="J73" s="75">
        <f>J74+J75+J76+J77+J78+J79+J80+J82+J81+J83</f>
        <v>0</v>
      </c>
      <c r="K73" s="74">
        <f>L73/1000</f>
        <v>4578.9979999999996</v>
      </c>
      <c r="L73" s="75">
        <f>SUM(L74:L83)</f>
        <v>4578998</v>
      </c>
      <c r="M73" s="41">
        <f t="shared" si="42"/>
        <v>-34.938000000000002</v>
      </c>
      <c r="N73" s="9">
        <f>N78</f>
        <v>34938</v>
      </c>
      <c r="O73" s="101">
        <f t="shared" si="43"/>
        <v>0</v>
      </c>
      <c r="P73" s="106">
        <f>P74+P76+P77+P78+P79+P80+P81+P82+P83</f>
        <v>0</v>
      </c>
      <c r="Q73" s="106">
        <v>0</v>
      </c>
      <c r="R73" s="101">
        <f t="shared" si="44"/>
        <v>0</v>
      </c>
      <c r="S73" s="106"/>
      <c r="T73" s="3">
        <f>T78</f>
        <v>34938</v>
      </c>
      <c r="U73" s="82">
        <f>U8/B8*B73</f>
        <v>2365054.9294270189</v>
      </c>
      <c r="V73" s="33">
        <f t="shared" si="45"/>
        <v>3089.989929427019</v>
      </c>
      <c r="W73" s="9">
        <f t="shared" si="46"/>
        <v>3434.2485000000001</v>
      </c>
      <c r="X73" s="33">
        <f t="shared" si="47"/>
        <v>0</v>
      </c>
      <c r="Y73" s="41">
        <f t="shared" si="48"/>
        <v>4578.9979999999996</v>
      </c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4" customFormat="1" ht="9.9499999999999993" customHeight="1" x14ac:dyDescent="0.15">
      <c r="A74" s="62" t="s">
        <v>23</v>
      </c>
      <c r="B74" s="51">
        <v>0.7</v>
      </c>
      <c r="C74" s="93">
        <f t="shared" si="41"/>
        <v>785.59703707727351</v>
      </c>
      <c r="D74" s="89">
        <f>E74+U74</f>
        <v>785597.03707727348</v>
      </c>
      <c r="E74" s="76">
        <v>494129</v>
      </c>
      <c r="F74" s="89">
        <f>H74/1000</f>
        <v>934.81124999999997</v>
      </c>
      <c r="G74" s="7">
        <f>I74/2</f>
        <v>454000</v>
      </c>
      <c r="H74" s="76">
        <f t="shared" si="49"/>
        <v>934811.25</v>
      </c>
      <c r="I74" s="76">
        <v>908000</v>
      </c>
      <c r="J74" s="76"/>
      <c r="K74" s="89">
        <f>L74/1000</f>
        <v>1246.415</v>
      </c>
      <c r="L74" s="76">
        <v>1246415</v>
      </c>
      <c r="M74" s="43">
        <f t="shared" si="42"/>
        <v>0</v>
      </c>
      <c r="N74" s="20"/>
      <c r="O74" s="102">
        <f t="shared" si="43"/>
        <v>0</v>
      </c>
      <c r="P74" s="100">
        <f>S74*0.75</f>
        <v>0</v>
      </c>
      <c r="Q74" s="100">
        <v>0</v>
      </c>
      <c r="R74" s="102">
        <f t="shared" si="44"/>
        <v>0</v>
      </c>
      <c r="S74" s="100"/>
      <c r="T74" s="7"/>
      <c r="U74" s="83">
        <f>U8/B8*B74</f>
        <v>291468.03707727348</v>
      </c>
      <c r="V74" s="36">
        <f t="shared" si="45"/>
        <v>785.59703707727351</v>
      </c>
      <c r="W74" s="20">
        <f t="shared" si="46"/>
        <v>934.81124999999997</v>
      </c>
      <c r="X74" s="36">
        <f t="shared" si="47"/>
        <v>0</v>
      </c>
      <c r="Y74" s="43">
        <f t="shared" si="48"/>
        <v>1246.415</v>
      </c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s="4" customFormat="1" ht="9.9499999999999993" hidden="1" customHeight="1" x14ac:dyDescent="0.15">
      <c r="A75" s="62"/>
      <c r="B75" s="51"/>
      <c r="C75" s="93">
        <f t="shared" si="41"/>
        <v>0</v>
      </c>
      <c r="D75" s="89"/>
      <c r="E75" s="76"/>
      <c r="F75" s="89">
        <v>0</v>
      </c>
      <c r="G75" s="7"/>
      <c r="H75" s="76">
        <f t="shared" si="49"/>
        <v>18129.75</v>
      </c>
      <c r="I75" s="76"/>
      <c r="J75" s="76"/>
      <c r="K75" s="89"/>
      <c r="L75" s="76">
        <v>24173</v>
      </c>
      <c r="M75" s="43">
        <f t="shared" si="42"/>
        <v>0</v>
      </c>
      <c r="N75" s="20"/>
      <c r="O75" s="102">
        <f t="shared" si="43"/>
        <v>0</v>
      </c>
      <c r="P75" s="100">
        <f t="shared" ref="P75:P83" si="50">S75*0.75</f>
        <v>0</v>
      </c>
      <c r="Q75" s="100">
        <v>0</v>
      </c>
      <c r="R75" s="102">
        <f t="shared" si="44"/>
        <v>0</v>
      </c>
      <c r="S75" s="100"/>
      <c r="T75" s="7"/>
      <c r="U75" s="83"/>
      <c r="V75" s="36">
        <f t="shared" si="45"/>
        <v>0</v>
      </c>
      <c r="W75" s="20">
        <f t="shared" si="46"/>
        <v>0</v>
      </c>
      <c r="X75" s="36">
        <f t="shared" si="47"/>
        <v>0</v>
      </c>
      <c r="Y75" s="43">
        <f t="shared" si="48"/>
        <v>0</v>
      </c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s="4" customFormat="1" ht="9.9499999999999993" customHeight="1" x14ac:dyDescent="0.15">
      <c r="A76" s="62" t="s">
        <v>24</v>
      </c>
      <c r="B76" s="51">
        <v>1.03</v>
      </c>
      <c r="C76" s="93">
        <f t="shared" si="41"/>
        <v>453.35839741370239</v>
      </c>
      <c r="D76" s="89">
        <f t="shared" ref="D76:D84" si="51">E76+U76</f>
        <v>453358.39741370239</v>
      </c>
      <c r="E76" s="76">
        <v>24484</v>
      </c>
      <c r="F76" s="89">
        <f t="shared" ref="F76:F82" si="52">H76/1000</f>
        <v>518.21550000000002</v>
      </c>
      <c r="G76" s="7">
        <f>I76/2</f>
        <v>96500</v>
      </c>
      <c r="H76" s="76">
        <f t="shared" si="49"/>
        <v>518215.5</v>
      </c>
      <c r="I76" s="76">
        <v>193000</v>
      </c>
      <c r="J76" s="76"/>
      <c r="K76" s="89">
        <f t="shared" ref="K76:K82" si="53">L76/1000</f>
        <v>690.95399999999995</v>
      </c>
      <c r="L76" s="76">
        <v>690954</v>
      </c>
      <c r="M76" s="43">
        <f t="shared" si="42"/>
        <v>0</v>
      </c>
      <c r="N76" s="20"/>
      <c r="O76" s="102">
        <f t="shared" si="43"/>
        <v>0</v>
      </c>
      <c r="P76" s="100">
        <f t="shared" si="50"/>
        <v>0</v>
      </c>
      <c r="Q76" s="100">
        <v>0</v>
      </c>
      <c r="R76" s="102">
        <f t="shared" si="44"/>
        <v>0</v>
      </c>
      <c r="S76" s="100"/>
      <c r="T76" s="7"/>
      <c r="U76" s="83">
        <f>U8/B8*B76</f>
        <v>428874.39741370239</v>
      </c>
      <c r="V76" s="36">
        <f t="shared" si="45"/>
        <v>453.35839741370239</v>
      </c>
      <c r="W76" s="20">
        <f t="shared" si="46"/>
        <v>518.21550000000002</v>
      </c>
      <c r="X76" s="36">
        <f t="shared" si="47"/>
        <v>0</v>
      </c>
      <c r="Y76" s="43">
        <f t="shared" si="48"/>
        <v>690.95399999999995</v>
      </c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s="4" customFormat="1" ht="9.9499999999999993" customHeight="1" x14ac:dyDescent="0.15">
      <c r="A77" s="62" t="s">
        <v>102</v>
      </c>
      <c r="B77" s="51">
        <v>0.55000000000000004</v>
      </c>
      <c r="C77" s="93">
        <f t="shared" si="41"/>
        <v>229.01060056071489</v>
      </c>
      <c r="D77" s="89">
        <f t="shared" si="51"/>
        <v>229010.6005607149</v>
      </c>
      <c r="E77" s="76"/>
      <c r="F77" s="89">
        <f t="shared" si="52"/>
        <v>274.42349999999999</v>
      </c>
      <c r="G77" s="7">
        <f>I77/2</f>
        <v>50000</v>
      </c>
      <c r="H77" s="76">
        <f t="shared" si="49"/>
        <v>274423.5</v>
      </c>
      <c r="I77" s="76">
        <v>100000</v>
      </c>
      <c r="J77" s="76"/>
      <c r="K77" s="89">
        <f t="shared" si="53"/>
        <v>365.89800000000002</v>
      </c>
      <c r="L77" s="76">
        <v>365898</v>
      </c>
      <c r="M77" s="43">
        <f t="shared" si="42"/>
        <v>0</v>
      </c>
      <c r="N77" s="20"/>
      <c r="O77" s="102">
        <f t="shared" si="43"/>
        <v>0</v>
      </c>
      <c r="P77" s="100">
        <f t="shared" si="50"/>
        <v>0</v>
      </c>
      <c r="Q77" s="100">
        <v>0</v>
      </c>
      <c r="R77" s="102">
        <f t="shared" si="44"/>
        <v>0</v>
      </c>
      <c r="S77" s="100"/>
      <c r="T77" s="7"/>
      <c r="U77" s="83">
        <f>U8/B8*B77</f>
        <v>229010.6005607149</v>
      </c>
      <c r="V77" s="36">
        <f t="shared" si="45"/>
        <v>229.01060056071489</v>
      </c>
      <c r="W77" s="20">
        <f t="shared" si="46"/>
        <v>274.42349999999999</v>
      </c>
      <c r="X77" s="36">
        <f t="shared" si="47"/>
        <v>0</v>
      </c>
      <c r="Y77" s="43">
        <f t="shared" si="48"/>
        <v>365.89800000000002</v>
      </c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s="4" customFormat="1" ht="9.9499999999999993" customHeight="1" x14ac:dyDescent="0.15">
      <c r="A78" s="62" t="s">
        <v>25</v>
      </c>
      <c r="B78" s="51">
        <v>0.1</v>
      </c>
      <c r="C78" s="93">
        <f t="shared" si="41"/>
        <v>195.90829101103907</v>
      </c>
      <c r="D78" s="89">
        <f t="shared" si="51"/>
        <v>195908.29101103908</v>
      </c>
      <c r="E78" s="76">
        <f>216130-61860</f>
        <v>154270</v>
      </c>
      <c r="F78" s="89">
        <f t="shared" si="52"/>
        <v>261.25875000000002</v>
      </c>
      <c r="G78" s="7">
        <f>I78/2</f>
        <v>150000</v>
      </c>
      <c r="H78" s="76">
        <f t="shared" si="49"/>
        <v>261258.75</v>
      </c>
      <c r="I78" s="76">
        <v>300000</v>
      </c>
      <c r="J78" s="76"/>
      <c r="K78" s="89">
        <f t="shared" si="53"/>
        <v>348.34500000000003</v>
      </c>
      <c r="L78" s="76">
        <v>348345</v>
      </c>
      <c r="M78" s="43">
        <f t="shared" si="42"/>
        <v>-34.938000000000002</v>
      </c>
      <c r="N78" s="20">
        <f>11500+23438</f>
        <v>34938</v>
      </c>
      <c r="O78" s="102">
        <f t="shared" si="43"/>
        <v>0</v>
      </c>
      <c r="P78" s="100">
        <f t="shared" si="50"/>
        <v>0</v>
      </c>
      <c r="Q78" s="100">
        <v>0</v>
      </c>
      <c r="R78" s="102">
        <f t="shared" si="44"/>
        <v>0</v>
      </c>
      <c r="S78" s="100"/>
      <c r="T78" s="7">
        <f>11500+23438</f>
        <v>34938</v>
      </c>
      <c r="U78" s="83">
        <f>U8/B8*B78</f>
        <v>41638.291011039073</v>
      </c>
      <c r="V78" s="36">
        <f t="shared" si="45"/>
        <v>160.97029101103908</v>
      </c>
      <c r="W78" s="20">
        <f t="shared" si="46"/>
        <v>261.25875000000002</v>
      </c>
      <c r="X78" s="36">
        <f t="shared" si="47"/>
        <v>0</v>
      </c>
      <c r="Y78" s="43">
        <f t="shared" si="48"/>
        <v>348.34500000000003</v>
      </c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s="4" customFormat="1" ht="9.9499999999999993" customHeight="1" x14ac:dyDescent="0.15">
      <c r="A79" s="62" t="s">
        <v>26</v>
      </c>
      <c r="B79" s="51">
        <v>0.95</v>
      </c>
      <c r="C79" s="93">
        <f t="shared" si="41"/>
        <v>426.49276460487118</v>
      </c>
      <c r="D79" s="89">
        <f t="shared" si="51"/>
        <v>426492.76460487116</v>
      </c>
      <c r="E79" s="76">
        <v>30929</v>
      </c>
      <c r="F79" s="89">
        <f t="shared" si="52"/>
        <v>344.45850000000002</v>
      </c>
      <c r="G79" s="7"/>
      <c r="H79" s="76">
        <f t="shared" si="49"/>
        <v>344458.5</v>
      </c>
      <c r="I79" s="76"/>
      <c r="J79" s="76"/>
      <c r="K79" s="89">
        <f t="shared" si="53"/>
        <v>459.27800000000002</v>
      </c>
      <c r="L79" s="76">
        <v>459278</v>
      </c>
      <c r="M79" s="43">
        <f t="shared" si="42"/>
        <v>0</v>
      </c>
      <c r="N79" s="20"/>
      <c r="O79" s="102">
        <f t="shared" si="43"/>
        <v>0</v>
      </c>
      <c r="P79" s="100">
        <f t="shared" si="50"/>
        <v>0</v>
      </c>
      <c r="Q79" s="100">
        <v>0</v>
      </c>
      <c r="R79" s="102">
        <f t="shared" si="44"/>
        <v>0</v>
      </c>
      <c r="S79" s="100"/>
      <c r="T79" s="7"/>
      <c r="U79" s="83">
        <f>U8/B8*B79</f>
        <v>395563.76460487116</v>
      </c>
      <c r="V79" s="36">
        <f t="shared" si="45"/>
        <v>426.49276460487118</v>
      </c>
      <c r="W79" s="20">
        <f t="shared" si="46"/>
        <v>344.45850000000002</v>
      </c>
      <c r="X79" s="36">
        <f t="shared" si="47"/>
        <v>0</v>
      </c>
      <c r="Y79" s="43">
        <f t="shared" si="48"/>
        <v>459.27800000000002</v>
      </c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s="4" customFormat="1" ht="9.9499999999999993" customHeight="1" x14ac:dyDescent="0.15">
      <c r="A80" s="62" t="s">
        <v>27</v>
      </c>
      <c r="B80" s="51">
        <v>1.4</v>
      </c>
      <c r="C80" s="93">
        <f t="shared" si="41"/>
        <v>628.94207415454696</v>
      </c>
      <c r="D80" s="89">
        <f t="shared" si="51"/>
        <v>628942.07415454695</v>
      </c>
      <c r="E80" s="76">
        <v>46006</v>
      </c>
      <c r="F80" s="89">
        <f t="shared" si="52"/>
        <v>520.37249999999995</v>
      </c>
      <c r="G80" s="7">
        <f>I80/2</f>
        <v>8500</v>
      </c>
      <c r="H80" s="76">
        <f t="shared" si="49"/>
        <v>520372.5</v>
      </c>
      <c r="I80" s="76">
        <v>17000</v>
      </c>
      <c r="J80" s="76"/>
      <c r="K80" s="89">
        <f t="shared" si="53"/>
        <v>693.83</v>
      </c>
      <c r="L80" s="76">
        <v>693830</v>
      </c>
      <c r="M80" s="43">
        <f t="shared" si="42"/>
        <v>0</v>
      </c>
      <c r="N80" s="20"/>
      <c r="O80" s="102">
        <f t="shared" si="43"/>
        <v>0</v>
      </c>
      <c r="P80" s="100">
        <f t="shared" si="50"/>
        <v>0</v>
      </c>
      <c r="Q80" s="100">
        <v>0</v>
      </c>
      <c r="R80" s="102">
        <f t="shared" si="44"/>
        <v>0</v>
      </c>
      <c r="S80" s="100"/>
      <c r="T80" s="7"/>
      <c r="U80" s="83">
        <f>U8/B8*B80</f>
        <v>582936.07415454695</v>
      </c>
      <c r="V80" s="36">
        <f t="shared" si="45"/>
        <v>628.94207415454696</v>
      </c>
      <c r="W80" s="20">
        <f t="shared" si="46"/>
        <v>520.37249999999995</v>
      </c>
      <c r="X80" s="36">
        <f t="shared" si="47"/>
        <v>0</v>
      </c>
      <c r="Y80" s="43">
        <f t="shared" si="48"/>
        <v>693.83</v>
      </c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s="4" customFormat="1" ht="9.9499999999999993" customHeight="1" x14ac:dyDescent="0.15">
      <c r="A81" s="62" t="s">
        <v>34</v>
      </c>
      <c r="B81" s="51">
        <v>0.6</v>
      </c>
      <c r="C81" s="93">
        <f t="shared" si="41"/>
        <v>249.82974606623441</v>
      </c>
      <c r="D81" s="89">
        <f t="shared" si="51"/>
        <v>249829.74606623439</v>
      </c>
      <c r="E81" s="76"/>
      <c r="F81" s="89">
        <f t="shared" si="52"/>
        <v>453.80250000000001</v>
      </c>
      <c r="G81" s="7">
        <f>I81/2</f>
        <v>157500</v>
      </c>
      <c r="H81" s="76">
        <f t="shared" si="49"/>
        <v>453802.5</v>
      </c>
      <c r="I81" s="76">
        <v>315000</v>
      </c>
      <c r="J81" s="76"/>
      <c r="K81" s="89">
        <f t="shared" si="53"/>
        <v>605.07000000000005</v>
      </c>
      <c r="L81" s="76">
        <v>605070</v>
      </c>
      <c r="M81" s="43">
        <f t="shared" si="42"/>
        <v>0</v>
      </c>
      <c r="N81" s="20"/>
      <c r="O81" s="102">
        <f t="shared" si="43"/>
        <v>0</v>
      </c>
      <c r="P81" s="100">
        <f t="shared" si="50"/>
        <v>0</v>
      </c>
      <c r="Q81" s="100">
        <v>0</v>
      </c>
      <c r="R81" s="102">
        <f t="shared" si="44"/>
        <v>0</v>
      </c>
      <c r="S81" s="100"/>
      <c r="T81" s="7"/>
      <c r="U81" s="83">
        <f>U8/B8*B81</f>
        <v>249829.74606623439</v>
      </c>
      <c r="V81" s="36">
        <f t="shared" si="45"/>
        <v>249.82974606623441</v>
      </c>
      <c r="W81" s="20">
        <f t="shared" si="46"/>
        <v>453.80250000000001</v>
      </c>
      <c r="X81" s="36">
        <f t="shared" si="47"/>
        <v>0</v>
      </c>
      <c r="Y81" s="43">
        <f t="shared" si="48"/>
        <v>605.07000000000005</v>
      </c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s="4" customFormat="1" ht="9.9499999999999993" customHeight="1" x14ac:dyDescent="0.15">
      <c r="A82" s="62" t="s">
        <v>101</v>
      </c>
      <c r="B82" s="51"/>
      <c r="C82" s="93">
        <f t="shared" si="41"/>
        <v>10</v>
      </c>
      <c r="D82" s="89">
        <f t="shared" si="51"/>
        <v>10000</v>
      </c>
      <c r="E82" s="76">
        <v>10000</v>
      </c>
      <c r="F82" s="89">
        <f t="shared" si="52"/>
        <v>0</v>
      </c>
      <c r="G82" s="7"/>
      <c r="H82" s="76">
        <f t="shared" si="49"/>
        <v>0</v>
      </c>
      <c r="I82" s="76"/>
      <c r="J82" s="76"/>
      <c r="K82" s="89">
        <f t="shared" si="53"/>
        <v>0</v>
      </c>
      <c r="L82" s="76"/>
      <c r="M82" s="43">
        <f t="shared" si="42"/>
        <v>0</v>
      </c>
      <c r="N82" s="20"/>
      <c r="O82" s="102">
        <f t="shared" si="43"/>
        <v>0</v>
      </c>
      <c r="P82" s="100">
        <f t="shared" si="50"/>
        <v>0</v>
      </c>
      <c r="Q82" s="100">
        <v>0</v>
      </c>
      <c r="R82" s="102">
        <f t="shared" si="44"/>
        <v>0</v>
      </c>
      <c r="S82" s="100"/>
      <c r="T82" s="7"/>
      <c r="U82" s="83"/>
      <c r="V82" s="36">
        <f t="shared" si="45"/>
        <v>10</v>
      </c>
      <c r="W82" s="20">
        <f t="shared" si="46"/>
        <v>0</v>
      </c>
      <c r="X82" s="36">
        <f t="shared" si="47"/>
        <v>0</v>
      </c>
      <c r="Y82" s="43">
        <f t="shared" si="48"/>
        <v>0</v>
      </c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s="4" customFormat="1" ht="9.9499999999999993" customHeight="1" x14ac:dyDescent="0.15">
      <c r="A83" s="62" t="s">
        <v>38</v>
      </c>
      <c r="B83" s="51">
        <v>0.35</v>
      </c>
      <c r="C83" s="93">
        <f t="shared" si="41"/>
        <v>145.78901853863672</v>
      </c>
      <c r="D83" s="89">
        <f t="shared" si="51"/>
        <v>145789.01853863674</v>
      </c>
      <c r="E83" s="76">
        <v>55</v>
      </c>
      <c r="F83" s="89">
        <f>H83/1000+F75</f>
        <v>108.77625</v>
      </c>
      <c r="G83" s="7"/>
      <c r="H83" s="76">
        <f t="shared" si="49"/>
        <v>108776.25</v>
      </c>
      <c r="I83" s="76"/>
      <c r="J83" s="76"/>
      <c r="K83" s="89">
        <f>L83/1000+24</f>
        <v>169.035</v>
      </c>
      <c r="L83" s="76">
        <v>145035</v>
      </c>
      <c r="M83" s="43">
        <f t="shared" si="42"/>
        <v>0</v>
      </c>
      <c r="N83" s="20"/>
      <c r="O83" s="102">
        <f t="shared" si="43"/>
        <v>0</v>
      </c>
      <c r="P83" s="100">
        <f t="shared" si="50"/>
        <v>0</v>
      </c>
      <c r="Q83" s="100">
        <v>0</v>
      </c>
      <c r="R83" s="102">
        <f t="shared" si="44"/>
        <v>0</v>
      </c>
      <c r="S83" s="100"/>
      <c r="T83" s="7"/>
      <c r="U83" s="83">
        <f>U8/B8*B83</f>
        <v>145734.01853863674</v>
      </c>
      <c r="V83" s="36">
        <f t="shared" si="45"/>
        <v>145.78901853863672</v>
      </c>
      <c r="W83" s="20">
        <f t="shared" si="46"/>
        <v>108.77625</v>
      </c>
      <c r="X83" s="36">
        <f t="shared" si="47"/>
        <v>0</v>
      </c>
      <c r="Y83" s="43">
        <f t="shared" si="48"/>
        <v>169.035</v>
      </c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s="8" customFormat="1" ht="9.9499999999999993" customHeight="1" x14ac:dyDescent="0.15">
      <c r="A84" s="61" t="s">
        <v>66</v>
      </c>
      <c r="B84" s="49">
        <f>SUM(B85:B93)</f>
        <v>3.1</v>
      </c>
      <c r="C84" s="92">
        <f t="shared" si="41"/>
        <v>3501.0680213422115</v>
      </c>
      <c r="D84" s="74">
        <f t="shared" si="51"/>
        <v>3501068.0213422114</v>
      </c>
      <c r="E84" s="75">
        <f>SUM(E85:E93)</f>
        <v>2210281</v>
      </c>
      <c r="F84" s="74">
        <f t="shared" ref="F84:F93" si="54">H84/1000</f>
        <v>4865.2844999999998</v>
      </c>
      <c r="G84" s="3">
        <f>SUM(G85:G93)</f>
        <v>2494175</v>
      </c>
      <c r="H84" s="75">
        <f t="shared" si="49"/>
        <v>4865284.5</v>
      </c>
      <c r="I84" s="75">
        <f>SUM(I85:I93)</f>
        <v>4988350</v>
      </c>
      <c r="J84" s="75">
        <f>J85+J86+J87+J88+J89+J90+J91+J92+J93</f>
        <v>0</v>
      </c>
      <c r="K84" s="74">
        <f t="shared" ref="K84:K93" si="55">L84/1000</f>
        <v>6487.0460000000003</v>
      </c>
      <c r="L84" s="75">
        <f>SUM(L85:L93)</f>
        <v>6487046</v>
      </c>
      <c r="M84" s="41">
        <f t="shared" si="42"/>
        <v>0</v>
      </c>
      <c r="N84" s="9"/>
      <c r="O84" s="101">
        <f t="shared" si="43"/>
        <v>0</v>
      </c>
      <c r="P84" s="106">
        <f>P85+P86+P87+P88+P89+P90+P91+P92+P93</f>
        <v>0</v>
      </c>
      <c r="Q84" s="106">
        <v>0</v>
      </c>
      <c r="R84" s="101">
        <f t="shared" si="44"/>
        <v>0</v>
      </c>
      <c r="S84" s="106"/>
      <c r="T84" s="3"/>
      <c r="U84" s="82">
        <f>U8/B8*B84</f>
        <v>1290787.0213422112</v>
      </c>
      <c r="V84" s="33">
        <f t="shared" si="45"/>
        <v>3501.0680213422115</v>
      </c>
      <c r="W84" s="9">
        <f t="shared" si="46"/>
        <v>4865.2844999999998</v>
      </c>
      <c r="X84" s="33">
        <f t="shared" si="47"/>
        <v>0</v>
      </c>
      <c r="Y84" s="41">
        <f t="shared" si="48"/>
        <v>6487.0460000000003</v>
      </c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s="4" customFormat="1" ht="9.9499999999999993" customHeight="1" x14ac:dyDescent="0.15">
      <c r="A85" s="62" t="s">
        <v>100</v>
      </c>
      <c r="B85" s="51">
        <v>0</v>
      </c>
      <c r="C85" s="93">
        <f t="shared" si="41"/>
        <v>758.29499999999996</v>
      </c>
      <c r="D85" s="89">
        <f>U85+E85</f>
        <v>758295</v>
      </c>
      <c r="E85" s="76">
        <v>758295</v>
      </c>
      <c r="F85" s="89">
        <f t="shared" si="54"/>
        <v>1500</v>
      </c>
      <c r="G85" s="7">
        <f t="shared" ref="G85:G93" si="56">I85/2</f>
        <v>1000000</v>
      </c>
      <c r="H85" s="76">
        <f t="shared" si="49"/>
        <v>1500000</v>
      </c>
      <c r="I85" s="76">
        <v>2000000</v>
      </c>
      <c r="J85" s="76"/>
      <c r="K85" s="89">
        <f t="shared" si="55"/>
        <v>2000</v>
      </c>
      <c r="L85" s="76">
        <v>2000000</v>
      </c>
      <c r="M85" s="43">
        <f t="shared" si="42"/>
        <v>0</v>
      </c>
      <c r="N85" s="20"/>
      <c r="O85" s="102">
        <f t="shared" si="43"/>
        <v>0</v>
      </c>
      <c r="P85" s="100">
        <f>S85*0.75</f>
        <v>0</v>
      </c>
      <c r="Q85" s="100">
        <v>0</v>
      </c>
      <c r="R85" s="102">
        <f t="shared" si="44"/>
        <v>0</v>
      </c>
      <c r="S85" s="100"/>
      <c r="T85" s="7"/>
      <c r="U85" s="83"/>
      <c r="V85" s="36">
        <f t="shared" si="45"/>
        <v>758.29499999999996</v>
      </c>
      <c r="W85" s="20">
        <f t="shared" si="46"/>
        <v>1500</v>
      </c>
      <c r="X85" s="36">
        <f t="shared" si="47"/>
        <v>0</v>
      </c>
      <c r="Y85" s="43">
        <f t="shared" si="48"/>
        <v>2000</v>
      </c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s="4" customFormat="1" ht="9.9499999999999993" customHeight="1" x14ac:dyDescent="0.15">
      <c r="A86" s="62" t="s">
        <v>99</v>
      </c>
      <c r="B86" s="51">
        <v>0.1</v>
      </c>
      <c r="C86" s="93">
        <f t="shared" si="41"/>
        <v>101.32029101103907</v>
      </c>
      <c r="D86" s="89">
        <f t="shared" ref="D86:D93" si="57">E86+U86</f>
        <v>101320.29101103908</v>
      </c>
      <c r="E86" s="76">
        <v>59682</v>
      </c>
      <c r="F86" s="89">
        <f t="shared" si="54"/>
        <v>208.75874999999999</v>
      </c>
      <c r="G86" s="7">
        <f t="shared" si="56"/>
        <v>115000</v>
      </c>
      <c r="H86" s="76">
        <f t="shared" si="49"/>
        <v>208758.75</v>
      </c>
      <c r="I86" s="76">
        <v>230000</v>
      </c>
      <c r="J86" s="76"/>
      <c r="K86" s="89">
        <f t="shared" si="55"/>
        <v>278.34500000000003</v>
      </c>
      <c r="L86" s="76">
        <v>278345</v>
      </c>
      <c r="M86" s="43">
        <f t="shared" si="42"/>
        <v>0</v>
      </c>
      <c r="N86" s="20"/>
      <c r="O86" s="102">
        <f t="shared" si="43"/>
        <v>0</v>
      </c>
      <c r="P86" s="100">
        <f t="shared" ref="P86:P92" si="58">S86*0.75</f>
        <v>0</v>
      </c>
      <c r="Q86" s="100">
        <v>0</v>
      </c>
      <c r="R86" s="102">
        <f t="shared" si="44"/>
        <v>0</v>
      </c>
      <c r="S86" s="100"/>
      <c r="T86" s="7"/>
      <c r="U86" s="83">
        <f>U8/B8*B86</f>
        <v>41638.291011039073</v>
      </c>
      <c r="V86" s="36">
        <f t="shared" si="45"/>
        <v>101.32029101103907</v>
      </c>
      <c r="W86" s="20">
        <f t="shared" si="46"/>
        <v>208.75874999999999</v>
      </c>
      <c r="X86" s="36">
        <f t="shared" si="47"/>
        <v>0</v>
      </c>
      <c r="Y86" s="43">
        <f t="shared" si="48"/>
        <v>278.34500000000003</v>
      </c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s="4" customFormat="1" ht="9.9499999999999993" customHeight="1" x14ac:dyDescent="0.15">
      <c r="A87" s="62" t="s">
        <v>98</v>
      </c>
      <c r="B87" s="51">
        <v>0.3</v>
      </c>
      <c r="C87" s="93">
        <f t="shared" si="41"/>
        <v>293.8428730331172</v>
      </c>
      <c r="D87" s="89">
        <f t="shared" si="57"/>
        <v>293842.87303311721</v>
      </c>
      <c r="E87" s="76">
        <v>168928</v>
      </c>
      <c r="F87" s="89">
        <f t="shared" si="54"/>
        <v>408.77625</v>
      </c>
      <c r="G87" s="7">
        <f t="shared" si="56"/>
        <v>200000</v>
      </c>
      <c r="H87" s="76">
        <f t="shared" si="49"/>
        <v>408776.25</v>
      </c>
      <c r="I87" s="76">
        <v>400000</v>
      </c>
      <c r="J87" s="76"/>
      <c r="K87" s="89">
        <f t="shared" si="55"/>
        <v>545.03499999999997</v>
      </c>
      <c r="L87" s="76">
        <v>545035</v>
      </c>
      <c r="M87" s="43">
        <f t="shared" si="42"/>
        <v>0</v>
      </c>
      <c r="N87" s="20"/>
      <c r="O87" s="102">
        <f t="shared" si="43"/>
        <v>0</v>
      </c>
      <c r="P87" s="100">
        <f t="shared" si="58"/>
        <v>0</v>
      </c>
      <c r="Q87" s="100">
        <v>0</v>
      </c>
      <c r="R87" s="102">
        <f t="shared" si="44"/>
        <v>0</v>
      </c>
      <c r="S87" s="100"/>
      <c r="T87" s="7"/>
      <c r="U87" s="83">
        <f>U8/B8*B87</f>
        <v>124914.8730331172</v>
      </c>
      <c r="V87" s="36">
        <f t="shared" si="45"/>
        <v>293.8428730331172</v>
      </c>
      <c r="W87" s="20">
        <f t="shared" si="46"/>
        <v>408.77625</v>
      </c>
      <c r="X87" s="36">
        <f t="shared" si="47"/>
        <v>0</v>
      </c>
      <c r="Y87" s="43">
        <f t="shared" si="48"/>
        <v>545.03499999999997</v>
      </c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s="4" customFormat="1" ht="9.9499999999999993" customHeight="1" x14ac:dyDescent="0.15">
      <c r="A88" s="62" t="s">
        <v>28</v>
      </c>
      <c r="B88" s="51">
        <v>0.1</v>
      </c>
      <c r="C88" s="93">
        <f t="shared" si="41"/>
        <v>130.02729101103907</v>
      </c>
      <c r="D88" s="89">
        <f t="shared" si="57"/>
        <v>130027.29101103908</v>
      </c>
      <c r="E88" s="76">
        <v>88389</v>
      </c>
      <c r="F88" s="89">
        <f t="shared" si="54"/>
        <v>111.25875000000001</v>
      </c>
      <c r="G88" s="7">
        <f t="shared" si="56"/>
        <v>50000</v>
      </c>
      <c r="H88" s="76">
        <f t="shared" si="49"/>
        <v>111258.75</v>
      </c>
      <c r="I88" s="76">
        <v>100000</v>
      </c>
      <c r="J88" s="76"/>
      <c r="K88" s="89">
        <f t="shared" si="55"/>
        <v>148.345</v>
      </c>
      <c r="L88" s="76">
        <v>148345</v>
      </c>
      <c r="M88" s="43">
        <f t="shared" si="42"/>
        <v>0</v>
      </c>
      <c r="N88" s="20"/>
      <c r="O88" s="102">
        <f t="shared" si="43"/>
        <v>0</v>
      </c>
      <c r="P88" s="100">
        <f t="shared" si="58"/>
        <v>0</v>
      </c>
      <c r="Q88" s="100">
        <v>0</v>
      </c>
      <c r="R88" s="102">
        <f t="shared" si="44"/>
        <v>0</v>
      </c>
      <c r="S88" s="100"/>
      <c r="T88" s="7"/>
      <c r="U88" s="83">
        <f>U8/B8*B88</f>
        <v>41638.291011039073</v>
      </c>
      <c r="V88" s="36">
        <f t="shared" si="45"/>
        <v>130.02729101103907</v>
      </c>
      <c r="W88" s="20">
        <f t="shared" si="46"/>
        <v>111.25875000000001</v>
      </c>
      <c r="X88" s="36">
        <f t="shared" si="47"/>
        <v>0</v>
      </c>
      <c r="Y88" s="43">
        <f t="shared" si="48"/>
        <v>148.345</v>
      </c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s="4" customFormat="1" ht="9.9499999999999993" customHeight="1" x14ac:dyDescent="0.15">
      <c r="A89" s="62" t="s">
        <v>29</v>
      </c>
      <c r="B89" s="51">
        <v>0.55000000000000004</v>
      </c>
      <c r="C89" s="93">
        <f t="shared" si="41"/>
        <v>1173.2156005607148</v>
      </c>
      <c r="D89" s="89">
        <f t="shared" si="57"/>
        <v>1173215.600560715</v>
      </c>
      <c r="E89" s="76">
        <v>944205</v>
      </c>
      <c r="F89" s="89">
        <f t="shared" si="54"/>
        <v>1693.2360000000001</v>
      </c>
      <c r="G89" s="7">
        <f t="shared" si="56"/>
        <v>995875</v>
      </c>
      <c r="H89" s="76">
        <f t="shared" si="49"/>
        <v>1693236</v>
      </c>
      <c r="I89" s="76">
        <v>1991750</v>
      </c>
      <c r="J89" s="76"/>
      <c r="K89" s="89">
        <f t="shared" si="55"/>
        <v>2257.6480000000001</v>
      </c>
      <c r="L89" s="76">
        <v>2257648</v>
      </c>
      <c r="M89" s="43">
        <f t="shared" si="42"/>
        <v>0</v>
      </c>
      <c r="N89" s="20"/>
      <c r="O89" s="102">
        <f t="shared" si="43"/>
        <v>0</v>
      </c>
      <c r="P89" s="100">
        <f t="shared" si="58"/>
        <v>0</v>
      </c>
      <c r="Q89" s="100">
        <v>0</v>
      </c>
      <c r="R89" s="102">
        <f t="shared" si="44"/>
        <v>0</v>
      </c>
      <c r="S89" s="100"/>
      <c r="T89" s="7"/>
      <c r="U89" s="83">
        <f>U8/B8*B89</f>
        <v>229010.6005607149</v>
      </c>
      <c r="V89" s="36">
        <f t="shared" si="45"/>
        <v>1173.2156005607148</v>
      </c>
      <c r="W89" s="20">
        <f t="shared" si="46"/>
        <v>1693.2360000000001</v>
      </c>
      <c r="X89" s="36">
        <f t="shared" si="47"/>
        <v>0</v>
      </c>
      <c r="Y89" s="43">
        <f t="shared" si="48"/>
        <v>2257.6480000000001</v>
      </c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s="4" customFormat="1" ht="9.9499999999999993" customHeight="1" x14ac:dyDescent="0.15">
      <c r="A90" s="62" t="s">
        <v>30</v>
      </c>
      <c r="B90" s="51">
        <v>0.5</v>
      </c>
      <c r="C90" s="93">
        <f t="shared" si="41"/>
        <v>327.64645505519536</v>
      </c>
      <c r="D90" s="89">
        <f t="shared" si="57"/>
        <v>327646.45505519537</v>
      </c>
      <c r="E90" s="76">
        <v>119455</v>
      </c>
      <c r="F90" s="89">
        <f t="shared" si="54"/>
        <v>283.29374999999999</v>
      </c>
      <c r="G90" s="7">
        <f t="shared" si="56"/>
        <v>68000</v>
      </c>
      <c r="H90" s="76">
        <f t="shared" si="49"/>
        <v>283293.75</v>
      </c>
      <c r="I90" s="76">
        <v>136000</v>
      </c>
      <c r="J90" s="76"/>
      <c r="K90" s="89">
        <f t="shared" si="55"/>
        <v>377.72500000000002</v>
      </c>
      <c r="L90" s="76">
        <v>377725</v>
      </c>
      <c r="M90" s="43">
        <f t="shared" si="42"/>
        <v>0</v>
      </c>
      <c r="N90" s="20"/>
      <c r="O90" s="102">
        <f t="shared" si="43"/>
        <v>0</v>
      </c>
      <c r="P90" s="100">
        <f t="shared" si="58"/>
        <v>0</v>
      </c>
      <c r="Q90" s="100">
        <v>0</v>
      </c>
      <c r="R90" s="102">
        <f t="shared" si="44"/>
        <v>0</v>
      </c>
      <c r="S90" s="100"/>
      <c r="T90" s="7"/>
      <c r="U90" s="83">
        <f>U8/B8*B90</f>
        <v>208191.45505519534</v>
      </c>
      <c r="V90" s="36">
        <f t="shared" si="45"/>
        <v>327.64645505519536</v>
      </c>
      <c r="W90" s="20">
        <f t="shared" si="46"/>
        <v>283.29374999999999</v>
      </c>
      <c r="X90" s="36">
        <f t="shared" si="47"/>
        <v>0</v>
      </c>
      <c r="Y90" s="43">
        <f t="shared" si="48"/>
        <v>377.72500000000002</v>
      </c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s="4" customFormat="1" ht="9.9499999999999993" customHeight="1" x14ac:dyDescent="0.15">
      <c r="A91" s="62" t="s">
        <v>31</v>
      </c>
      <c r="B91" s="51">
        <v>1.1000000000000001</v>
      </c>
      <c r="C91" s="93">
        <f t="shared" si="41"/>
        <v>494.80220112142979</v>
      </c>
      <c r="D91" s="89">
        <f t="shared" si="57"/>
        <v>494802.2011214298</v>
      </c>
      <c r="E91" s="76">
        <v>36781</v>
      </c>
      <c r="F91" s="89">
        <f t="shared" si="54"/>
        <v>448.79624999999999</v>
      </c>
      <c r="G91" s="7">
        <f t="shared" si="56"/>
        <v>33300</v>
      </c>
      <c r="H91" s="76">
        <f t="shared" si="49"/>
        <v>448796.25</v>
      </c>
      <c r="I91" s="76">
        <v>66600</v>
      </c>
      <c r="J91" s="76"/>
      <c r="K91" s="89">
        <f t="shared" si="55"/>
        <v>598.39499999999998</v>
      </c>
      <c r="L91" s="76">
        <v>598395</v>
      </c>
      <c r="M91" s="43">
        <f t="shared" si="42"/>
        <v>0</v>
      </c>
      <c r="N91" s="20"/>
      <c r="O91" s="102">
        <f t="shared" si="43"/>
        <v>0</v>
      </c>
      <c r="P91" s="100">
        <f t="shared" si="58"/>
        <v>0</v>
      </c>
      <c r="Q91" s="100">
        <v>0</v>
      </c>
      <c r="R91" s="102">
        <f t="shared" si="44"/>
        <v>0</v>
      </c>
      <c r="S91" s="100"/>
      <c r="T91" s="7"/>
      <c r="U91" s="83">
        <f>U8/B8*B91</f>
        <v>458021.2011214298</v>
      </c>
      <c r="V91" s="36">
        <f t="shared" si="45"/>
        <v>494.80220112142979</v>
      </c>
      <c r="W91" s="20">
        <f t="shared" si="46"/>
        <v>448.79624999999999</v>
      </c>
      <c r="X91" s="36">
        <f t="shared" si="47"/>
        <v>0</v>
      </c>
      <c r="Y91" s="43">
        <f t="shared" si="48"/>
        <v>598.39499999999998</v>
      </c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s="4" customFormat="1" ht="9.9499999999999993" customHeight="1" x14ac:dyDescent="0.15">
      <c r="A92" s="62" t="s">
        <v>32</v>
      </c>
      <c r="B92" s="51">
        <v>0.4</v>
      </c>
      <c r="C92" s="93">
        <f t="shared" si="41"/>
        <v>199.0381640441563</v>
      </c>
      <c r="D92" s="89">
        <f t="shared" si="57"/>
        <v>199038.16404415629</v>
      </c>
      <c r="E92" s="76">
        <v>32485</v>
      </c>
      <c r="F92" s="89">
        <f t="shared" si="54"/>
        <v>182.535</v>
      </c>
      <c r="G92" s="7">
        <f t="shared" si="56"/>
        <v>25000</v>
      </c>
      <c r="H92" s="76">
        <f t="shared" si="49"/>
        <v>182535</v>
      </c>
      <c r="I92" s="76">
        <v>50000</v>
      </c>
      <c r="J92" s="76"/>
      <c r="K92" s="89">
        <f t="shared" si="55"/>
        <v>243.38</v>
      </c>
      <c r="L92" s="76">
        <v>243380</v>
      </c>
      <c r="M92" s="43">
        <f t="shared" si="42"/>
        <v>0</v>
      </c>
      <c r="N92" s="20"/>
      <c r="O92" s="102">
        <f t="shared" si="43"/>
        <v>0</v>
      </c>
      <c r="P92" s="100">
        <f t="shared" si="58"/>
        <v>0</v>
      </c>
      <c r="Q92" s="100">
        <v>0</v>
      </c>
      <c r="R92" s="102">
        <f t="shared" si="44"/>
        <v>0</v>
      </c>
      <c r="S92" s="100"/>
      <c r="T92" s="7"/>
      <c r="U92" s="83">
        <f>U8/B8*B92</f>
        <v>166553.16404415629</v>
      </c>
      <c r="V92" s="36">
        <f t="shared" si="45"/>
        <v>199.0381640441563</v>
      </c>
      <c r="W92" s="20">
        <f t="shared" si="46"/>
        <v>182.535</v>
      </c>
      <c r="X92" s="36">
        <f t="shared" si="47"/>
        <v>0</v>
      </c>
      <c r="Y92" s="43">
        <f t="shared" si="48"/>
        <v>243.38</v>
      </c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s="4" customFormat="1" ht="9.9499999999999993" customHeight="1" x14ac:dyDescent="0.15">
      <c r="A93" s="62" t="s">
        <v>97</v>
      </c>
      <c r="B93" s="51">
        <v>0.05</v>
      </c>
      <c r="C93" s="93">
        <f t="shared" si="41"/>
        <v>22.880145505519536</v>
      </c>
      <c r="D93" s="89">
        <f t="shared" si="57"/>
        <v>22880.145505519537</v>
      </c>
      <c r="E93" s="76">
        <v>2061</v>
      </c>
      <c r="F93" s="89">
        <f t="shared" si="54"/>
        <v>28.629750000000001</v>
      </c>
      <c r="G93" s="7">
        <f t="shared" si="56"/>
        <v>7000</v>
      </c>
      <c r="H93" s="76">
        <f t="shared" si="49"/>
        <v>28629.75</v>
      </c>
      <c r="I93" s="76">
        <v>14000</v>
      </c>
      <c r="J93" s="76"/>
      <c r="K93" s="89">
        <f t="shared" si="55"/>
        <v>38.173000000000002</v>
      </c>
      <c r="L93" s="76">
        <v>38173</v>
      </c>
      <c r="M93" s="43">
        <f t="shared" si="42"/>
        <v>0</v>
      </c>
      <c r="N93" s="20"/>
      <c r="O93" s="102">
        <f t="shared" si="43"/>
        <v>0</v>
      </c>
      <c r="P93" s="100">
        <f>S93/2</f>
        <v>0</v>
      </c>
      <c r="Q93" s="100">
        <v>0</v>
      </c>
      <c r="R93" s="102">
        <f t="shared" si="44"/>
        <v>0</v>
      </c>
      <c r="S93" s="100"/>
      <c r="T93" s="7"/>
      <c r="U93" s="83">
        <f>U8/B8*B93</f>
        <v>20819.145505519537</v>
      </c>
      <c r="V93" s="36">
        <f t="shared" si="45"/>
        <v>22.880145505519536</v>
      </c>
      <c r="W93" s="20">
        <f t="shared" si="46"/>
        <v>28.629750000000001</v>
      </c>
      <c r="X93" s="36">
        <f t="shared" si="47"/>
        <v>0</v>
      </c>
      <c r="Y93" s="43">
        <f t="shared" si="48"/>
        <v>38.173000000000002</v>
      </c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s="4" customFormat="1" ht="9" customHeight="1" x14ac:dyDescent="0.15">
      <c r="A94" s="62"/>
      <c r="B94" s="51"/>
      <c r="C94" s="92"/>
      <c r="D94" s="89"/>
      <c r="E94" s="76"/>
      <c r="F94" s="89"/>
      <c r="G94" s="7"/>
      <c r="H94" s="76"/>
      <c r="I94" s="76"/>
      <c r="J94" s="76"/>
      <c r="K94" s="89"/>
      <c r="L94" s="76"/>
      <c r="M94" s="43"/>
      <c r="N94" s="20"/>
      <c r="O94" s="102"/>
      <c r="P94" s="100"/>
      <c r="Q94" s="100"/>
      <c r="R94" s="102"/>
      <c r="S94" s="100"/>
      <c r="T94" s="7"/>
      <c r="U94" s="83"/>
      <c r="V94" s="36"/>
      <c r="W94" s="20"/>
      <c r="X94" s="36"/>
      <c r="Y94" s="41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s="12" customFormat="1" x14ac:dyDescent="0.15">
      <c r="A95" s="60" t="s">
        <v>84</v>
      </c>
      <c r="B95" s="54">
        <f>B96+B97+B98+B99+B100</f>
        <v>6.0699999999999994</v>
      </c>
      <c r="C95" s="92">
        <f t="shared" ref="C95:C100" si="59">D95/1000</f>
        <v>7095.4732643700718</v>
      </c>
      <c r="D95" s="74">
        <f>D96+D97+D98+D99+D100</f>
        <v>7095473.2643700717</v>
      </c>
      <c r="E95" s="74">
        <f>E96+E97+E98+E99+E100</f>
        <v>4568029</v>
      </c>
      <c r="F95" s="74">
        <f t="shared" ref="F95:F100" si="60">H95/1000</f>
        <v>7359.8182500000003</v>
      </c>
      <c r="G95" s="25">
        <f>G96+G97+G98+G99+G100</f>
        <v>3439274</v>
      </c>
      <c r="H95" s="74">
        <f>H96+H97+H98+H99+H100</f>
        <v>7359818.25</v>
      </c>
      <c r="I95" s="74">
        <f>I96+I97+I98+I99+I100</f>
        <v>6878548</v>
      </c>
      <c r="J95" s="74">
        <f>J96+J97+J98+J99+J100</f>
        <v>0</v>
      </c>
      <c r="K95" s="74">
        <f t="shared" ref="K95:K100" si="61">L95/1000</f>
        <v>9813.0910000000003</v>
      </c>
      <c r="L95" s="96">
        <f>L96+L97+L98+L99+L100</f>
        <v>9813091</v>
      </c>
      <c r="M95" s="25">
        <f t="shared" ref="M95:M100" si="62">N95/1000*-1</f>
        <v>-849.40634999999997</v>
      </c>
      <c r="N95" s="25">
        <f>N96+N97+N98+N99+N100</f>
        <v>849406.35</v>
      </c>
      <c r="O95" s="101">
        <f t="shared" ref="O95:O100" si="63">P95/1000*-1</f>
        <v>-525</v>
      </c>
      <c r="P95" s="101">
        <f>P96+P97+P98+P99+P100</f>
        <v>525000</v>
      </c>
      <c r="Q95" s="101">
        <f>Q96+Q97+Q98+Q99+Q100</f>
        <v>0</v>
      </c>
      <c r="R95" s="101">
        <f t="shared" ref="R95:R100" si="64">S95/1000*-1</f>
        <v>-700</v>
      </c>
      <c r="S95" s="107">
        <f>S96+S97+S98+S99+S100</f>
        <v>700000</v>
      </c>
      <c r="T95" s="10">
        <f>T96+T97+T98+T99+T100</f>
        <v>849406.35</v>
      </c>
      <c r="U95" s="84">
        <f>U96+U97+U98+U99+U100</f>
        <v>2527444.2643700712</v>
      </c>
      <c r="V95" s="24">
        <f t="shared" ref="V95:V100" si="65">C95+M95</f>
        <v>6246.0669143700716</v>
      </c>
      <c r="W95" s="24">
        <f t="shared" ref="W95:W100" si="66">F95+O95</f>
        <v>6834.8182500000003</v>
      </c>
      <c r="X95" s="24">
        <f t="shared" ref="X95:Y100" si="67">J95+Q95</f>
        <v>0</v>
      </c>
      <c r="Y95" s="25">
        <f t="shared" si="67"/>
        <v>9113.0910000000003</v>
      </c>
    </row>
    <row r="96" spans="1:40" s="4" customFormat="1" ht="9.9499999999999993" customHeight="1" x14ac:dyDescent="0.15">
      <c r="A96" s="61" t="s">
        <v>67</v>
      </c>
      <c r="B96" s="49">
        <v>1.38</v>
      </c>
      <c r="C96" s="92">
        <f t="shared" si="59"/>
        <v>1008.2394159523391</v>
      </c>
      <c r="D96" s="74">
        <f>E96+U96</f>
        <v>1008239.4159523391</v>
      </c>
      <c r="E96" s="75">
        <f>429335+4296</f>
        <v>433631</v>
      </c>
      <c r="F96" s="74">
        <f t="shared" si="60"/>
        <v>809.37075000000004</v>
      </c>
      <c r="G96" s="3">
        <f>I96/2</f>
        <v>206000</v>
      </c>
      <c r="H96" s="75">
        <f>L96*0.75</f>
        <v>809370.75</v>
      </c>
      <c r="I96" s="75">
        <v>412000</v>
      </c>
      <c r="J96" s="75"/>
      <c r="K96" s="74">
        <f t="shared" si="61"/>
        <v>1079.1610000000001</v>
      </c>
      <c r="L96" s="75">
        <v>1079161</v>
      </c>
      <c r="M96" s="41">
        <f t="shared" si="62"/>
        <v>0</v>
      </c>
      <c r="N96" s="9"/>
      <c r="O96" s="101">
        <f t="shared" si="63"/>
        <v>0</v>
      </c>
      <c r="P96" s="106">
        <f>S96*0.75</f>
        <v>0</v>
      </c>
      <c r="Q96" s="106">
        <v>0</v>
      </c>
      <c r="R96" s="101">
        <f t="shared" si="64"/>
        <v>0</v>
      </c>
      <c r="S96" s="106"/>
      <c r="T96" s="3"/>
      <c r="U96" s="82">
        <f>U8/B8*B96</f>
        <v>574608.41595233907</v>
      </c>
      <c r="V96" s="33">
        <f t="shared" si="65"/>
        <v>1008.2394159523391</v>
      </c>
      <c r="W96" s="9">
        <f t="shared" si="66"/>
        <v>809.37075000000004</v>
      </c>
      <c r="X96" s="33">
        <f t="shared" si="67"/>
        <v>0</v>
      </c>
      <c r="Y96" s="41">
        <f t="shared" si="67"/>
        <v>1079.1610000000001</v>
      </c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s="4" customFormat="1" ht="9.9499999999999993" customHeight="1" x14ac:dyDescent="0.15">
      <c r="A97" s="61" t="s">
        <v>68</v>
      </c>
      <c r="B97" s="49">
        <v>1.59</v>
      </c>
      <c r="C97" s="92">
        <f t="shared" si="59"/>
        <v>713.13782707552127</v>
      </c>
      <c r="D97" s="74">
        <f>E97+U97</f>
        <v>713137.82707552123</v>
      </c>
      <c r="E97" s="75">
        <v>51089</v>
      </c>
      <c r="F97" s="74">
        <f t="shared" si="60"/>
        <v>821.0145</v>
      </c>
      <c r="G97" s="3">
        <f>I97/2</f>
        <v>163000</v>
      </c>
      <c r="H97" s="75">
        <f>L97*0.75</f>
        <v>821014.5</v>
      </c>
      <c r="I97" s="75">
        <v>326000</v>
      </c>
      <c r="J97" s="75"/>
      <c r="K97" s="74">
        <f t="shared" si="61"/>
        <v>1094.6859999999999</v>
      </c>
      <c r="L97" s="75">
        <v>1094686</v>
      </c>
      <c r="M97" s="41">
        <f t="shared" si="62"/>
        <v>0</v>
      </c>
      <c r="N97" s="9"/>
      <c r="O97" s="101">
        <f t="shared" si="63"/>
        <v>0</v>
      </c>
      <c r="P97" s="106">
        <f>S97*0.75</f>
        <v>0</v>
      </c>
      <c r="Q97" s="106">
        <v>0</v>
      </c>
      <c r="R97" s="101">
        <f t="shared" si="64"/>
        <v>0</v>
      </c>
      <c r="S97" s="106"/>
      <c r="T97" s="3"/>
      <c r="U97" s="82">
        <f>U8/B8*B97</f>
        <v>662048.82707552123</v>
      </c>
      <c r="V97" s="33">
        <f t="shared" si="65"/>
        <v>713.13782707552127</v>
      </c>
      <c r="W97" s="9">
        <f t="shared" si="66"/>
        <v>821.0145</v>
      </c>
      <c r="X97" s="33">
        <f t="shared" si="67"/>
        <v>0</v>
      </c>
      <c r="Y97" s="41">
        <f t="shared" si="67"/>
        <v>1094.6859999999999</v>
      </c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s="4" customFormat="1" ht="9.9499999999999993" customHeight="1" x14ac:dyDescent="0.15">
      <c r="A98" s="61" t="s">
        <v>69</v>
      </c>
      <c r="B98" s="49">
        <v>1.1499999999999999</v>
      </c>
      <c r="C98" s="92">
        <f t="shared" si="59"/>
        <v>712.25434662694931</v>
      </c>
      <c r="D98" s="74">
        <f>E98+U98</f>
        <v>712254.34662694926</v>
      </c>
      <c r="E98" s="75">
        <v>233414</v>
      </c>
      <c r="F98" s="74">
        <f t="shared" si="60"/>
        <v>634.476</v>
      </c>
      <c r="G98" s="3">
        <f>I98/2</f>
        <v>145000</v>
      </c>
      <c r="H98" s="75">
        <f>L98*0.75</f>
        <v>634476</v>
      </c>
      <c r="I98" s="75">
        <v>290000</v>
      </c>
      <c r="J98" s="75"/>
      <c r="K98" s="74">
        <f t="shared" si="61"/>
        <v>845.96799999999996</v>
      </c>
      <c r="L98" s="75">
        <v>845968</v>
      </c>
      <c r="M98" s="41">
        <f t="shared" si="62"/>
        <v>0</v>
      </c>
      <c r="N98" s="9"/>
      <c r="O98" s="101">
        <f t="shared" si="63"/>
        <v>0</v>
      </c>
      <c r="P98" s="106">
        <f>S98*0.75</f>
        <v>0</v>
      </c>
      <c r="Q98" s="106">
        <v>0</v>
      </c>
      <c r="R98" s="101">
        <f t="shared" si="64"/>
        <v>0</v>
      </c>
      <c r="S98" s="106"/>
      <c r="T98" s="3"/>
      <c r="U98" s="82">
        <f>U8/B8*B98</f>
        <v>478840.34662694926</v>
      </c>
      <c r="V98" s="33">
        <f t="shared" si="65"/>
        <v>712.25434662694931</v>
      </c>
      <c r="W98" s="9">
        <f t="shared" si="66"/>
        <v>634.476</v>
      </c>
      <c r="X98" s="33">
        <f t="shared" si="67"/>
        <v>0</v>
      </c>
      <c r="Y98" s="41">
        <f t="shared" si="67"/>
        <v>845.96799999999996</v>
      </c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s="4" customFormat="1" ht="9.9499999999999993" customHeight="1" x14ac:dyDescent="0.15">
      <c r="A99" s="61" t="s">
        <v>70</v>
      </c>
      <c r="B99" s="49">
        <v>1.1499999999999999</v>
      </c>
      <c r="C99" s="92">
        <f t="shared" si="59"/>
        <v>3778.7943466269494</v>
      </c>
      <c r="D99" s="74">
        <f>E99+U99</f>
        <v>3778794.3466269495</v>
      </c>
      <c r="E99" s="75">
        <v>3299954</v>
      </c>
      <c r="F99" s="74">
        <f t="shared" si="60"/>
        <v>4168.9260000000004</v>
      </c>
      <c r="G99" s="3">
        <f>I99/2</f>
        <v>2501300</v>
      </c>
      <c r="H99" s="75">
        <f>L99*0.75</f>
        <v>4168926</v>
      </c>
      <c r="I99" s="75">
        <v>5002600</v>
      </c>
      <c r="J99" s="75"/>
      <c r="K99" s="74">
        <f t="shared" si="61"/>
        <v>5558.5680000000002</v>
      </c>
      <c r="L99" s="75">
        <v>5558568</v>
      </c>
      <c r="M99" s="41">
        <f t="shared" si="62"/>
        <v>-849.40634999999997</v>
      </c>
      <c r="N99" s="9">
        <f>669343+180063.35</f>
        <v>849406.35</v>
      </c>
      <c r="O99" s="101">
        <f t="shared" si="63"/>
        <v>-525</v>
      </c>
      <c r="P99" s="106">
        <f>S99*0.75</f>
        <v>525000</v>
      </c>
      <c r="Q99" s="106"/>
      <c r="R99" s="101">
        <f t="shared" si="64"/>
        <v>-700</v>
      </c>
      <c r="S99" s="106">
        <v>700000</v>
      </c>
      <c r="T99" s="3">
        <f>669343+180063.35</f>
        <v>849406.35</v>
      </c>
      <c r="U99" s="82">
        <f>U8/B8*B99</f>
        <v>478840.34662694926</v>
      </c>
      <c r="V99" s="33">
        <f t="shared" si="65"/>
        <v>2929.3879966269496</v>
      </c>
      <c r="W99" s="9">
        <f t="shared" si="66"/>
        <v>3643.9260000000004</v>
      </c>
      <c r="X99" s="33">
        <f t="shared" si="67"/>
        <v>0</v>
      </c>
      <c r="Y99" s="41">
        <f t="shared" si="67"/>
        <v>4858.5680000000002</v>
      </c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s="4" customFormat="1" ht="9.9499999999999993" customHeight="1" x14ac:dyDescent="0.15">
      <c r="A100" s="61" t="s">
        <v>71</v>
      </c>
      <c r="B100" s="49">
        <v>0.8</v>
      </c>
      <c r="C100" s="92">
        <f t="shared" si="59"/>
        <v>883.04732808831261</v>
      </c>
      <c r="D100" s="74">
        <f>E100+U100</f>
        <v>883047.32808831264</v>
      </c>
      <c r="E100" s="75">
        <v>549941</v>
      </c>
      <c r="F100" s="74">
        <f t="shared" si="60"/>
        <v>926.03099999999995</v>
      </c>
      <c r="G100" s="3">
        <f>I100/2</f>
        <v>423974</v>
      </c>
      <c r="H100" s="75">
        <f>L100*0.75</f>
        <v>926031</v>
      </c>
      <c r="I100" s="75">
        <v>847948</v>
      </c>
      <c r="J100" s="75"/>
      <c r="K100" s="74">
        <f t="shared" si="61"/>
        <v>1234.7080000000001</v>
      </c>
      <c r="L100" s="75">
        <v>1234708</v>
      </c>
      <c r="M100" s="41">
        <f t="shared" si="62"/>
        <v>0</v>
      </c>
      <c r="N100" s="9"/>
      <c r="O100" s="101">
        <f t="shared" si="63"/>
        <v>0</v>
      </c>
      <c r="P100" s="106">
        <f>S100*0.75</f>
        <v>0</v>
      </c>
      <c r="Q100" s="106">
        <v>0</v>
      </c>
      <c r="R100" s="101">
        <f t="shared" si="64"/>
        <v>0</v>
      </c>
      <c r="S100" s="106"/>
      <c r="T100" s="3"/>
      <c r="U100" s="82">
        <f>U8/B8*B100</f>
        <v>333106.32808831258</v>
      </c>
      <c r="V100" s="33">
        <f t="shared" si="65"/>
        <v>883.04732808831261</v>
      </c>
      <c r="W100" s="9">
        <f t="shared" si="66"/>
        <v>926.03099999999995</v>
      </c>
      <c r="X100" s="33">
        <f t="shared" si="67"/>
        <v>0</v>
      </c>
      <c r="Y100" s="41">
        <f t="shared" si="67"/>
        <v>1234.7080000000001</v>
      </c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s="4" customFormat="1" ht="9" customHeight="1" x14ac:dyDescent="0.15">
      <c r="A101" s="64"/>
      <c r="B101" s="49"/>
      <c r="C101" s="92"/>
      <c r="D101" s="74"/>
      <c r="E101" s="75"/>
      <c r="F101" s="74"/>
      <c r="G101" s="3"/>
      <c r="H101" s="75"/>
      <c r="I101" s="75"/>
      <c r="J101" s="75"/>
      <c r="K101" s="74"/>
      <c r="L101" s="75"/>
      <c r="M101" s="41"/>
      <c r="N101" s="9"/>
      <c r="O101" s="101"/>
      <c r="P101" s="106"/>
      <c r="Q101" s="106"/>
      <c r="R101" s="101"/>
      <c r="S101" s="106"/>
      <c r="T101" s="3"/>
      <c r="U101" s="82"/>
      <c r="V101" s="33"/>
      <c r="W101" s="9"/>
      <c r="X101" s="36"/>
      <c r="Y101" s="41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s="12" customFormat="1" x14ac:dyDescent="0.15">
      <c r="A102" s="60" t="s">
        <v>85</v>
      </c>
      <c r="B102" s="54">
        <f>B103+B105+B104+B106</f>
        <v>6.8599999999999994</v>
      </c>
      <c r="C102" s="92">
        <f>D102/1000</f>
        <v>12398.455023357279</v>
      </c>
      <c r="D102" s="74">
        <f>D103+D105+D104+D106</f>
        <v>12398455.02335728</v>
      </c>
      <c r="E102" s="74">
        <f>E103+E105+E104+E106</f>
        <v>9542068.2599999998</v>
      </c>
      <c r="F102" s="74">
        <f>H102/1000</f>
        <v>13463.55075</v>
      </c>
      <c r="G102" s="25">
        <f>G103+G105+G104+G106</f>
        <v>6541808.5</v>
      </c>
      <c r="H102" s="74">
        <f>H103+H105+H104+H106</f>
        <v>13463550.75</v>
      </c>
      <c r="I102" s="74">
        <f>I103+I105+I104+I106</f>
        <v>13083617</v>
      </c>
      <c r="J102" s="74">
        <f>J103+J104+J105+J106</f>
        <v>0</v>
      </c>
      <c r="K102" s="74">
        <f>L102/1000</f>
        <v>17951.401000000002</v>
      </c>
      <c r="L102" s="96">
        <f>L103+L105+L104+L106</f>
        <v>17951401</v>
      </c>
      <c r="M102" s="25">
        <f>N102/1000*-1</f>
        <v>-49626.820239999994</v>
      </c>
      <c r="N102" s="25">
        <f>N103+N105+N104+N106</f>
        <v>49626820.239999995</v>
      </c>
      <c r="O102" s="101">
        <f>P102/1000*-1</f>
        <v>-46057.508999999998</v>
      </c>
      <c r="P102" s="101">
        <f>P103+P105+P104+P106</f>
        <v>46057509</v>
      </c>
      <c r="Q102" s="101">
        <f>Q103+Q104+Q105+Q106</f>
        <v>0</v>
      </c>
      <c r="R102" s="101">
        <f>S102/1000*-1</f>
        <v>-61410.012000000002</v>
      </c>
      <c r="S102" s="107">
        <f>S103+S105+S104+S106</f>
        <v>61410012</v>
      </c>
      <c r="T102" s="10">
        <f>T103+T105+T104+T106</f>
        <v>50008743.019999996</v>
      </c>
      <c r="U102" s="84">
        <f>U103+U105+U104+U106</f>
        <v>2856386.7633572798</v>
      </c>
      <c r="V102" s="24">
        <f>C102+M102</f>
        <v>-37228.365216642713</v>
      </c>
      <c r="W102" s="24">
        <f>F102+O102</f>
        <v>-32593.958249999996</v>
      </c>
      <c r="X102" s="24">
        <f t="shared" ref="X102:Y106" si="68">J102+Q102</f>
        <v>0</v>
      </c>
      <c r="Y102" s="25">
        <f t="shared" si="68"/>
        <v>-43458.611000000004</v>
      </c>
    </row>
    <row r="103" spans="1:40" s="8" customFormat="1" ht="9.9499999999999993" customHeight="1" x14ac:dyDescent="0.15">
      <c r="A103" s="64" t="s">
        <v>72</v>
      </c>
      <c r="B103" s="49">
        <v>3.01</v>
      </c>
      <c r="C103" s="92">
        <f>D103/1000</f>
        <v>4772.0545594322757</v>
      </c>
      <c r="D103" s="74">
        <f>E103+U103</f>
        <v>4772054.5594322756</v>
      </c>
      <c r="E103" s="75">
        <v>3518742</v>
      </c>
      <c r="F103" s="74">
        <f>H103/1000</f>
        <v>5267.2102500000001</v>
      </c>
      <c r="G103" s="3">
        <f>I103/2</f>
        <v>2783881</v>
      </c>
      <c r="H103" s="75">
        <f>L103*0.75</f>
        <v>5267210.25</v>
      </c>
      <c r="I103" s="75">
        <v>5567762</v>
      </c>
      <c r="J103" s="75"/>
      <c r="K103" s="74">
        <f>L103/1000</f>
        <v>7022.9470000000001</v>
      </c>
      <c r="L103" s="75">
        <v>7022947</v>
      </c>
      <c r="M103" s="41">
        <f>N103/1000*-1</f>
        <v>-38925.231549999997</v>
      </c>
      <c r="N103" s="9">
        <f>38919711.55+5520</f>
        <v>38925231.549999997</v>
      </c>
      <c r="O103" s="101">
        <f>P103/1000*-1</f>
        <v>-39363.758999999998</v>
      </c>
      <c r="P103" s="106">
        <f>S103*0.75</f>
        <v>39363759</v>
      </c>
      <c r="Q103" s="106"/>
      <c r="R103" s="101">
        <f>S103/1000*-1</f>
        <v>-52485.012000000002</v>
      </c>
      <c r="S103" s="106">
        <v>52485012</v>
      </c>
      <c r="T103" s="3">
        <f>38919711.55+5520</f>
        <v>38925231.549999997</v>
      </c>
      <c r="U103" s="82">
        <f>U8/B8*B103</f>
        <v>1253312.5594322758</v>
      </c>
      <c r="V103" s="33">
        <f>C103+M103</f>
        <v>-34153.176990567721</v>
      </c>
      <c r="W103" s="9">
        <f>F103+O103</f>
        <v>-34096.548750000002</v>
      </c>
      <c r="X103" s="33">
        <f t="shared" si="68"/>
        <v>0</v>
      </c>
      <c r="Y103" s="41">
        <f t="shared" si="68"/>
        <v>-45462.065000000002</v>
      </c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s="8" customFormat="1" ht="9.9499999999999993" customHeight="1" x14ac:dyDescent="0.15">
      <c r="A104" s="64" t="s">
        <v>73</v>
      </c>
      <c r="B104" s="49">
        <v>2.35</v>
      </c>
      <c r="C104" s="92">
        <f>D104/1000</f>
        <v>5475.987838759419</v>
      </c>
      <c r="D104" s="74">
        <f>E104+U104</f>
        <v>5475987.8387594186</v>
      </c>
      <c r="E104" s="75">
        <v>4497488</v>
      </c>
      <c r="F104" s="74">
        <f>H104/1000</f>
        <v>5350.2472500000003</v>
      </c>
      <c r="G104" s="3">
        <f>I104/2</f>
        <v>2998777.5</v>
      </c>
      <c r="H104" s="75">
        <f>L104*0.75</f>
        <v>5350247.25</v>
      </c>
      <c r="I104" s="75">
        <v>5997555</v>
      </c>
      <c r="J104" s="75"/>
      <c r="K104" s="74">
        <f>L104/1000</f>
        <v>7133.6629999999996</v>
      </c>
      <c r="L104" s="75">
        <v>7133663</v>
      </c>
      <c r="M104" s="41">
        <f>N104/1000*-1</f>
        <v>0</v>
      </c>
      <c r="N104" s="9"/>
      <c r="O104" s="101">
        <f>P104/1000*-1</f>
        <v>0</v>
      </c>
      <c r="P104" s="106">
        <f>S104*0.75</f>
        <v>0</v>
      </c>
      <c r="Q104" s="106">
        <v>0</v>
      </c>
      <c r="R104" s="101">
        <f>S104/1000*-1</f>
        <v>0</v>
      </c>
      <c r="S104" s="106"/>
      <c r="T104" s="3"/>
      <c r="U104" s="82">
        <f>U8/B8*B104</f>
        <v>978499.83875941811</v>
      </c>
      <c r="V104" s="33">
        <f>C104+M104</f>
        <v>5475.987838759419</v>
      </c>
      <c r="W104" s="9">
        <f>F104+O104</f>
        <v>5350.2472500000003</v>
      </c>
      <c r="X104" s="33">
        <f t="shared" si="68"/>
        <v>0</v>
      </c>
      <c r="Y104" s="41">
        <f t="shared" si="68"/>
        <v>7133.6629999999996</v>
      </c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s="8" customFormat="1" ht="9.9499999999999993" customHeight="1" x14ac:dyDescent="0.15">
      <c r="A105" s="64" t="s">
        <v>74</v>
      </c>
      <c r="B105" s="49">
        <v>0.15</v>
      </c>
      <c r="C105" s="92">
        <f>D105/1000</f>
        <v>444.80843651655857</v>
      </c>
      <c r="D105" s="74">
        <f>E105+U105</f>
        <v>444808.43651655858</v>
      </c>
      <c r="E105" s="75">
        <v>382351</v>
      </c>
      <c r="F105" s="74">
        <f>H105/1000</f>
        <v>866.87474999999995</v>
      </c>
      <c r="G105" s="3">
        <f>I105/2</f>
        <v>541000</v>
      </c>
      <c r="H105" s="75">
        <f>L105*0.75</f>
        <v>866874.75</v>
      </c>
      <c r="I105" s="75">
        <v>1082000</v>
      </c>
      <c r="J105" s="75"/>
      <c r="K105" s="74">
        <f>L105/1000</f>
        <v>1155.8330000000001</v>
      </c>
      <c r="L105" s="75">
        <v>1155833</v>
      </c>
      <c r="M105" s="41">
        <f>N105/1000*-1</f>
        <v>-9228.6059299999997</v>
      </c>
      <c r="N105" s="9">
        <f>8086310.93+285115+708180+149000</f>
        <v>9228605.9299999997</v>
      </c>
      <c r="O105" s="101">
        <f>P105/1000*-1</f>
        <v>-4350</v>
      </c>
      <c r="P105" s="106">
        <f>S105*0.75</f>
        <v>4350000</v>
      </c>
      <c r="Q105" s="106"/>
      <c r="R105" s="101">
        <f>S105/1000*-1</f>
        <v>-5800</v>
      </c>
      <c r="S105" s="106">
        <v>5800000</v>
      </c>
      <c r="T105" s="3">
        <f>8086310.93+285115+708180+381922.78+149000</f>
        <v>9610528.709999999</v>
      </c>
      <c r="U105" s="82">
        <f>U8/B8*B105</f>
        <v>62457.436516558599</v>
      </c>
      <c r="V105" s="33">
        <f>C105+M105</f>
        <v>-8783.7974934834419</v>
      </c>
      <c r="W105" s="9">
        <f>F105+O105</f>
        <v>-3483.1252500000001</v>
      </c>
      <c r="X105" s="33">
        <f t="shared" si="68"/>
        <v>0</v>
      </c>
      <c r="Y105" s="41">
        <f t="shared" si="68"/>
        <v>-4644.1669999999995</v>
      </c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s="8" customFormat="1" ht="9.9499999999999993" customHeight="1" x14ac:dyDescent="0.15">
      <c r="A106" s="64" t="s">
        <v>75</v>
      </c>
      <c r="B106" s="49">
        <v>1.35</v>
      </c>
      <c r="C106" s="92">
        <f>D106/1000</f>
        <v>1705.6041886490277</v>
      </c>
      <c r="D106" s="74">
        <f>E106+U106</f>
        <v>1705604.1886490276</v>
      </c>
      <c r="E106" s="75">
        <f>254247+889240.26</f>
        <v>1143487.26</v>
      </c>
      <c r="F106" s="74">
        <f>H106/1000</f>
        <v>1979.2184999999999</v>
      </c>
      <c r="G106" s="9">
        <f>I106/2</f>
        <v>218150</v>
      </c>
      <c r="H106" s="75">
        <f>L106*0.75</f>
        <v>1979218.5</v>
      </c>
      <c r="I106" s="75">
        <v>436300</v>
      </c>
      <c r="J106" s="75"/>
      <c r="K106" s="74">
        <f>L106/1000</f>
        <v>2638.9580000000001</v>
      </c>
      <c r="L106" s="75">
        <v>2638958</v>
      </c>
      <c r="M106" s="41">
        <f>N106/1000*-1</f>
        <v>-1472.9827600000001</v>
      </c>
      <c r="N106" s="9">
        <f>1257829.76+675+214478</f>
        <v>1472982.76</v>
      </c>
      <c r="O106" s="101">
        <f>P106/1000*-1</f>
        <v>-2343.75</v>
      </c>
      <c r="P106" s="106">
        <f>S106*0.75</f>
        <v>2343750</v>
      </c>
      <c r="Q106" s="106"/>
      <c r="R106" s="101">
        <f>S106/1000*-1</f>
        <v>-3125</v>
      </c>
      <c r="S106" s="106">
        <v>3125000</v>
      </c>
      <c r="T106" s="3">
        <f>1257829.76+675+214478</f>
        <v>1472982.76</v>
      </c>
      <c r="U106" s="82">
        <f>U8/B8*B106</f>
        <v>562116.92864902748</v>
      </c>
      <c r="V106" s="33">
        <f>C106+M106</f>
        <v>232.62142864902762</v>
      </c>
      <c r="W106" s="9">
        <f>F106+O106</f>
        <v>-364.53150000000005</v>
      </c>
      <c r="X106" s="33">
        <f t="shared" si="68"/>
        <v>0</v>
      </c>
      <c r="Y106" s="41">
        <f t="shared" si="68"/>
        <v>-486.04199999999992</v>
      </c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1:40" s="8" customFormat="1" ht="9" customHeight="1" x14ac:dyDescent="0.15">
      <c r="A107" s="64"/>
      <c r="B107" s="49"/>
      <c r="C107" s="92"/>
      <c r="D107" s="74"/>
      <c r="E107" s="75"/>
      <c r="F107" s="74"/>
      <c r="G107" s="3"/>
      <c r="H107" s="75"/>
      <c r="I107" s="75"/>
      <c r="J107" s="75"/>
      <c r="K107" s="74"/>
      <c r="L107" s="75"/>
      <c r="M107" s="41"/>
      <c r="N107" s="9"/>
      <c r="O107" s="101"/>
      <c r="P107" s="106"/>
      <c r="Q107" s="106"/>
      <c r="R107" s="101"/>
      <c r="S107" s="106"/>
      <c r="T107" s="3"/>
      <c r="U107" s="82"/>
      <c r="V107" s="33"/>
      <c r="W107" s="9"/>
      <c r="X107" s="36"/>
      <c r="Y107" s="41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1:40" s="28" customFormat="1" x14ac:dyDescent="0.15">
      <c r="A108" s="65" t="s">
        <v>86</v>
      </c>
      <c r="B108" s="54">
        <f>B109+B110+B111+B112+B113+B114</f>
        <v>8.65</v>
      </c>
      <c r="C108" s="92">
        <f t="shared" ref="C108:C114" si="69">D108/1000</f>
        <v>10528.807172454879</v>
      </c>
      <c r="D108" s="74">
        <f>D109+D110+D111+D112+D113+D114</f>
        <v>10528807.172454879</v>
      </c>
      <c r="E108" s="74">
        <f>E109+E110+E111+E112+E113+E114</f>
        <v>6927095</v>
      </c>
      <c r="F108" s="74">
        <f t="shared" ref="F108:F121" si="70">H108/1000</f>
        <v>8879.5079999999998</v>
      </c>
      <c r="G108" s="25">
        <f>G109+G110+G111+G112+G113+G114</f>
        <v>3578750</v>
      </c>
      <c r="H108" s="74">
        <f>H109+H110+H111+H112+H113+H114</f>
        <v>8879508</v>
      </c>
      <c r="I108" s="74">
        <f>I109+I110+I111+I112+I113+I114</f>
        <v>7157500</v>
      </c>
      <c r="J108" s="74">
        <f>J109+J110+J111+J112+J113+J114</f>
        <v>0</v>
      </c>
      <c r="K108" s="74">
        <f t="shared" ref="K108:K114" si="71">L108/1000</f>
        <v>11839.343999999999</v>
      </c>
      <c r="L108" s="96">
        <f>L109+L110+L111+L112+L113+L114</f>
        <v>11839344</v>
      </c>
      <c r="M108" s="25">
        <f t="shared" ref="M108:M114" si="72">N108/1000*-1</f>
        <v>-476.20021000000003</v>
      </c>
      <c r="N108" s="25">
        <f>N109+N110+N111+N112+N113+N114</f>
        <v>476200.21</v>
      </c>
      <c r="O108" s="101">
        <f t="shared" ref="O108:O114" si="73">P108/1000*-1</f>
        <v>0</v>
      </c>
      <c r="P108" s="101">
        <f>P109+P110+P111+P112+P113+P114</f>
        <v>0</v>
      </c>
      <c r="Q108" s="101">
        <v>0</v>
      </c>
      <c r="R108" s="101">
        <f t="shared" ref="R108:R114" si="74">S108/1000*-1</f>
        <v>0</v>
      </c>
      <c r="S108" s="107">
        <f>S109+S110+S111+S112+S113+S114</f>
        <v>0</v>
      </c>
      <c r="T108" s="10">
        <f>T109+T110+T111+T112+T113+T114</f>
        <v>476200.21</v>
      </c>
      <c r="U108" s="84"/>
      <c r="V108" s="24">
        <f t="shared" ref="V108:V114" si="75">C108+M108</f>
        <v>10052.606962454878</v>
      </c>
      <c r="W108" s="24">
        <f t="shared" ref="W108:W114" si="76">F108+O108</f>
        <v>8879.5079999999998</v>
      </c>
      <c r="X108" s="24">
        <f t="shared" ref="X108:Y114" si="77">J108+Q108</f>
        <v>0</v>
      </c>
      <c r="Y108" s="25">
        <f t="shared" si="77"/>
        <v>11839.343999999999</v>
      </c>
    </row>
    <row r="109" spans="1:40" s="8" customFormat="1" ht="9.9499999999999993" customHeight="1" x14ac:dyDescent="0.15">
      <c r="A109" s="61" t="s">
        <v>76</v>
      </c>
      <c r="B109" s="49">
        <v>0.7</v>
      </c>
      <c r="C109" s="92">
        <f t="shared" si="69"/>
        <v>577.46003707727345</v>
      </c>
      <c r="D109" s="74">
        <f t="shared" ref="D109:D114" si="78">E109+U109</f>
        <v>577460.03707727348</v>
      </c>
      <c r="E109" s="75">
        <v>285992</v>
      </c>
      <c r="F109" s="74">
        <f t="shared" si="70"/>
        <v>699.31124999999997</v>
      </c>
      <c r="G109" s="3">
        <f>I109/2</f>
        <v>47000</v>
      </c>
      <c r="H109" s="75">
        <f t="shared" ref="H109:H114" si="79">L109*0.75</f>
        <v>699311.25</v>
      </c>
      <c r="I109" s="75">
        <v>94000</v>
      </c>
      <c r="J109" s="75"/>
      <c r="K109" s="74">
        <f t="shared" si="71"/>
        <v>932.41499999999996</v>
      </c>
      <c r="L109" s="75">
        <v>932415</v>
      </c>
      <c r="M109" s="41">
        <f t="shared" si="72"/>
        <v>0</v>
      </c>
      <c r="N109" s="9"/>
      <c r="O109" s="101">
        <f t="shared" si="73"/>
        <v>0</v>
      </c>
      <c r="P109" s="106">
        <f t="shared" ref="P109:P114" si="80">S109*0.75</f>
        <v>0</v>
      </c>
      <c r="Q109" s="106">
        <v>0</v>
      </c>
      <c r="R109" s="101">
        <f t="shared" si="74"/>
        <v>0</v>
      </c>
      <c r="S109" s="106"/>
      <c r="T109" s="3"/>
      <c r="U109" s="82">
        <f>U8/B8*B109</f>
        <v>291468.03707727348</v>
      </c>
      <c r="V109" s="33">
        <f t="shared" si="75"/>
        <v>577.46003707727345</v>
      </c>
      <c r="W109" s="9">
        <f t="shared" si="76"/>
        <v>699.31124999999997</v>
      </c>
      <c r="X109" s="33">
        <f t="shared" si="77"/>
        <v>0</v>
      </c>
      <c r="Y109" s="41">
        <f t="shared" si="77"/>
        <v>932.41499999999996</v>
      </c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</row>
    <row r="110" spans="1:40" s="8" customFormat="1" ht="9.9499999999999993" customHeight="1" x14ac:dyDescent="0.15">
      <c r="A110" s="61" t="s">
        <v>77</v>
      </c>
      <c r="B110" s="49">
        <v>0.45</v>
      </c>
      <c r="C110" s="92">
        <f t="shared" si="69"/>
        <v>1198.4043095496759</v>
      </c>
      <c r="D110" s="74">
        <f t="shared" si="78"/>
        <v>1198404.3095496758</v>
      </c>
      <c r="E110" s="75">
        <v>1011032</v>
      </c>
      <c r="F110" s="74">
        <f t="shared" si="70"/>
        <v>589.91475000000003</v>
      </c>
      <c r="G110" s="3">
        <f>I110/2</f>
        <v>284500</v>
      </c>
      <c r="H110" s="75">
        <f t="shared" si="79"/>
        <v>589914.75</v>
      </c>
      <c r="I110" s="75">
        <v>569000</v>
      </c>
      <c r="J110" s="75"/>
      <c r="K110" s="74">
        <f t="shared" si="71"/>
        <v>786.553</v>
      </c>
      <c r="L110" s="75">
        <v>786553</v>
      </c>
      <c r="M110" s="41">
        <f t="shared" si="72"/>
        <v>0</v>
      </c>
      <c r="N110" s="9"/>
      <c r="O110" s="101">
        <f t="shared" si="73"/>
        <v>0</v>
      </c>
      <c r="P110" s="106">
        <f t="shared" si="80"/>
        <v>0</v>
      </c>
      <c r="Q110" s="106">
        <v>0</v>
      </c>
      <c r="R110" s="101">
        <f t="shared" si="74"/>
        <v>0</v>
      </c>
      <c r="S110" s="106"/>
      <c r="T110" s="3"/>
      <c r="U110" s="82">
        <f>U8/B8*B110</f>
        <v>187372.30954967582</v>
      </c>
      <c r="V110" s="33">
        <f t="shared" si="75"/>
        <v>1198.4043095496759</v>
      </c>
      <c r="W110" s="9">
        <f t="shared" si="76"/>
        <v>589.91475000000003</v>
      </c>
      <c r="X110" s="33">
        <f t="shared" si="77"/>
        <v>0</v>
      </c>
      <c r="Y110" s="41">
        <f t="shared" si="77"/>
        <v>786.553</v>
      </c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1:40" s="8" customFormat="1" ht="9.9499999999999993" customHeight="1" x14ac:dyDescent="0.15">
      <c r="A111" s="61" t="s">
        <v>78</v>
      </c>
      <c r="B111" s="49">
        <v>1.4</v>
      </c>
      <c r="C111" s="92">
        <f t="shared" si="69"/>
        <v>589.66507415454691</v>
      </c>
      <c r="D111" s="74">
        <f t="shared" si="78"/>
        <v>589665.07415454695</v>
      </c>
      <c r="E111" s="75">
        <v>6729</v>
      </c>
      <c r="F111" s="74">
        <f t="shared" si="70"/>
        <v>507.6225</v>
      </c>
      <c r="G111" s="3"/>
      <c r="H111" s="75">
        <f t="shared" si="79"/>
        <v>507622.5</v>
      </c>
      <c r="I111" s="75">
        <v>0</v>
      </c>
      <c r="J111" s="75"/>
      <c r="K111" s="74">
        <f t="shared" si="71"/>
        <v>676.83</v>
      </c>
      <c r="L111" s="75">
        <v>676830</v>
      </c>
      <c r="M111" s="41">
        <f t="shared" si="72"/>
        <v>0</v>
      </c>
      <c r="N111" s="9"/>
      <c r="O111" s="101">
        <f t="shared" si="73"/>
        <v>0</v>
      </c>
      <c r="P111" s="106">
        <f t="shared" si="80"/>
        <v>0</v>
      </c>
      <c r="Q111" s="106">
        <v>0</v>
      </c>
      <c r="R111" s="101">
        <f t="shared" si="74"/>
        <v>0</v>
      </c>
      <c r="S111" s="106"/>
      <c r="T111" s="3"/>
      <c r="U111" s="82">
        <f>U8/B8*B111</f>
        <v>582936.07415454695</v>
      </c>
      <c r="V111" s="33">
        <f t="shared" si="75"/>
        <v>589.66507415454691</v>
      </c>
      <c r="W111" s="9">
        <f t="shared" si="76"/>
        <v>507.6225</v>
      </c>
      <c r="X111" s="33">
        <f t="shared" si="77"/>
        <v>0</v>
      </c>
      <c r="Y111" s="41">
        <f t="shared" si="77"/>
        <v>676.83</v>
      </c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1:40" s="8" customFormat="1" ht="9.9499999999999993" customHeight="1" x14ac:dyDescent="0.15">
      <c r="A112" s="61" t="s">
        <v>79</v>
      </c>
      <c r="B112" s="49">
        <v>3.35</v>
      </c>
      <c r="C112" s="92">
        <f t="shared" si="69"/>
        <v>3001.8347488698087</v>
      </c>
      <c r="D112" s="74">
        <f t="shared" si="78"/>
        <v>3001834.7488698089</v>
      </c>
      <c r="E112" s="75">
        <v>1606952</v>
      </c>
      <c r="F112" s="74">
        <f t="shared" si="70"/>
        <v>2582.2935000000002</v>
      </c>
      <c r="G112" s="3">
        <f>I112/2</f>
        <v>911750</v>
      </c>
      <c r="H112" s="75">
        <f t="shared" si="79"/>
        <v>2582293.5</v>
      </c>
      <c r="I112" s="75">
        <v>1823500</v>
      </c>
      <c r="J112" s="75"/>
      <c r="K112" s="74">
        <f t="shared" si="71"/>
        <v>3443.058</v>
      </c>
      <c r="L112" s="75">
        <v>3443058</v>
      </c>
      <c r="M112" s="41">
        <f t="shared" si="72"/>
        <v>0</v>
      </c>
      <c r="N112" s="9"/>
      <c r="O112" s="101">
        <f t="shared" si="73"/>
        <v>0</v>
      </c>
      <c r="P112" s="106">
        <f t="shared" si="80"/>
        <v>0</v>
      </c>
      <c r="Q112" s="106">
        <v>0</v>
      </c>
      <c r="R112" s="101">
        <f t="shared" si="74"/>
        <v>0</v>
      </c>
      <c r="S112" s="106"/>
      <c r="T112" s="3"/>
      <c r="U112" s="82">
        <f>U8/B8*B112</f>
        <v>1394882.7488698089</v>
      </c>
      <c r="V112" s="33">
        <f t="shared" si="75"/>
        <v>3001.8347488698087</v>
      </c>
      <c r="W112" s="9">
        <f t="shared" si="76"/>
        <v>2582.2935000000002</v>
      </c>
      <c r="X112" s="33">
        <f t="shared" si="77"/>
        <v>0</v>
      </c>
      <c r="Y112" s="41">
        <f t="shared" si="77"/>
        <v>3443.058</v>
      </c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</row>
    <row r="113" spans="1:36" s="8" customFormat="1" ht="9.9499999999999993" customHeight="1" x14ac:dyDescent="0.15">
      <c r="A113" s="61" t="s">
        <v>80</v>
      </c>
      <c r="B113" s="49">
        <v>1.8</v>
      </c>
      <c r="C113" s="92">
        <f t="shared" si="69"/>
        <v>2906.9702381987031</v>
      </c>
      <c r="D113" s="74">
        <f t="shared" si="78"/>
        <v>2906970.2381987032</v>
      </c>
      <c r="E113" s="75">
        <v>2157481</v>
      </c>
      <c r="F113" s="74">
        <f t="shared" si="70"/>
        <v>2683.6574999999998</v>
      </c>
      <c r="G113" s="3">
        <f>I113/2</f>
        <v>1354000</v>
      </c>
      <c r="H113" s="75">
        <f t="shared" si="79"/>
        <v>2683657.5</v>
      </c>
      <c r="I113" s="75">
        <v>2708000</v>
      </c>
      <c r="J113" s="75"/>
      <c r="K113" s="74">
        <f t="shared" si="71"/>
        <v>3578.21</v>
      </c>
      <c r="L113" s="75">
        <v>3578210</v>
      </c>
      <c r="M113" s="41">
        <f t="shared" si="72"/>
        <v>-476.20021000000003</v>
      </c>
      <c r="N113" s="9">
        <f>33181+18000+379772+45247.21</f>
        <v>476200.21</v>
      </c>
      <c r="O113" s="101">
        <f t="shared" si="73"/>
        <v>0</v>
      </c>
      <c r="P113" s="106">
        <f t="shared" si="80"/>
        <v>0</v>
      </c>
      <c r="Q113" s="106">
        <v>0</v>
      </c>
      <c r="R113" s="101">
        <f t="shared" si="74"/>
        <v>0</v>
      </c>
      <c r="S113" s="106"/>
      <c r="T113" s="3">
        <f>18000+379772+45247.21+33181</f>
        <v>476200.21</v>
      </c>
      <c r="U113" s="82">
        <f>U8/B8*B113</f>
        <v>749489.23819870327</v>
      </c>
      <c r="V113" s="33">
        <f t="shared" si="75"/>
        <v>2430.7700281987031</v>
      </c>
      <c r="W113" s="9">
        <f t="shared" si="76"/>
        <v>2683.6574999999998</v>
      </c>
      <c r="X113" s="33">
        <f t="shared" si="77"/>
        <v>0</v>
      </c>
      <c r="Y113" s="41">
        <f t="shared" si="77"/>
        <v>3578.21</v>
      </c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1:36" s="8" customFormat="1" ht="9.9499999999999993" customHeight="1" x14ac:dyDescent="0.15">
      <c r="A114" s="61" t="s">
        <v>81</v>
      </c>
      <c r="B114" s="49">
        <v>0.95</v>
      </c>
      <c r="C114" s="92">
        <f t="shared" si="69"/>
        <v>2254.4727646048714</v>
      </c>
      <c r="D114" s="74">
        <f t="shared" si="78"/>
        <v>2254472.7646048712</v>
      </c>
      <c r="E114" s="75">
        <v>1858909</v>
      </c>
      <c r="F114" s="74">
        <f t="shared" si="70"/>
        <v>1816.7085</v>
      </c>
      <c r="G114" s="3">
        <f>I114/2</f>
        <v>981500</v>
      </c>
      <c r="H114" s="75">
        <f t="shared" si="79"/>
        <v>1816708.5</v>
      </c>
      <c r="I114" s="75">
        <v>1963000</v>
      </c>
      <c r="J114" s="75"/>
      <c r="K114" s="74">
        <f t="shared" si="71"/>
        <v>2422.2779999999998</v>
      </c>
      <c r="L114" s="75">
        <v>2422278</v>
      </c>
      <c r="M114" s="41">
        <f t="shared" si="72"/>
        <v>0</v>
      </c>
      <c r="N114" s="9"/>
      <c r="O114" s="101">
        <f t="shared" si="73"/>
        <v>0</v>
      </c>
      <c r="P114" s="106">
        <f t="shared" si="80"/>
        <v>0</v>
      </c>
      <c r="Q114" s="106">
        <v>0</v>
      </c>
      <c r="R114" s="101">
        <f t="shared" si="74"/>
        <v>0</v>
      </c>
      <c r="S114" s="106"/>
      <c r="T114" s="3"/>
      <c r="U114" s="82">
        <f>U8/B8*B114</f>
        <v>395563.76460487116</v>
      </c>
      <c r="V114" s="33">
        <f t="shared" si="75"/>
        <v>2254.4727646048714</v>
      </c>
      <c r="W114" s="9">
        <f t="shared" si="76"/>
        <v>1816.7085</v>
      </c>
      <c r="X114" s="33">
        <f t="shared" si="77"/>
        <v>0</v>
      </c>
      <c r="Y114" s="41">
        <f t="shared" si="77"/>
        <v>2422.2779999999998</v>
      </c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1:36" s="8" customFormat="1" ht="9" customHeight="1" x14ac:dyDescent="0.15">
      <c r="A115" s="63"/>
      <c r="B115" s="50"/>
      <c r="C115" s="92"/>
      <c r="D115" s="74"/>
      <c r="E115" s="75"/>
      <c r="F115" s="74">
        <f t="shared" si="70"/>
        <v>0</v>
      </c>
      <c r="G115" s="3"/>
      <c r="H115" s="75"/>
      <c r="I115" s="75"/>
      <c r="J115" s="75"/>
      <c r="K115" s="74"/>
      <c r="L115" s="75"/>
      <c r="M115" s="41"/>
      <c r="N115" s="9"/>
      <c r="O115" s="101"/>
      <c r="P115" s="106"/>
      <c r="Q115" s="106"/>
      <c r="R115" s="101"/>
      <c r="S115" s="106"/>
      <c r="T115" s="3"/>
      <c r="U115" s="82"/>
      <c r="V115" s="33"/>
      <c r="W115" s="9"/>
      <c r="X115" s="36"/>
      <c r="Y115" s="41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1:36" s="12" customFormat="1" x14ac:dyDescent="0.15">
      <c r="A116" s="60" t="s">
        <v>87</v>
      </c>
      <c r="B116" s="53">
        <v>0</v>
      </c>
      <c r="C116" s="92">
        <f>D116/1000</f>
        <v>0</v>
      </c>
      <c r="D116" s="74">
        <f>D117</f>
        <v>0</v>
      </c>
      <c r="E116" s="74"/>
      <c r="F116" s="74">
        <f t="shared" si="70"/>
        <v>0</v>
      </c>
      <c r="G116" s="25">
        <f>G117</f>
        <v>0</v>
      </c>
      <c r="H116" s="74">
        <f>H117</f>
        <v>0</v>
      </c>
      <c r="I116" s="74">
        <f>I117</f>
        <v>-2600000</v>
      </c>
      <c r="J116" s="74">
        <v>0</v>
      </c>
      <c r="K116" s="74">
        <f>L116/1000</f>
        <v>0</v>
      </c>
      <c r="L116" s="96">
        <f>L117</f>
        <v>0</v>
      </c>
      <c r="M116" s="25">
        <f>N116/1000*-1</f>
        <v>-3874.373</v>
      </c>
      <c r="N116" s="25">
        <f>N117</f>
        <v>3874373</v>
      </c>
      <c r="O116" s="101">
        <f>P116/1000*-1</f>
        <v>-1950</v>
      </c>
      <c r="P116" s="101">
        <f>P117</f>
        <v>1950000</v>
      </c>
      <c r="Q116" s="101">
        <f>Q117</f>
        <v>0</v>
      </c>
      <c r="R116" s="101">
        <f>S116/1000*-1</f>
        <v>-2600</v>
      </c>
      <c r="S116" s="107">
        <f>S117</f>
        <v>2600000</v>
      </c>
      <c r="T116" s="10">
        <f>T117</f>
        <v>3874373</v>
      </c>
      <c r="U116" s="85">
        <f>U117</f>
        <v>0</v>
      </c>
      <c r="V116" s="24">
        <f>C116+M116</f>
        <v>-3874.373</v>
      </c>
      <c r="W116" s="24">
        <f>F116+O116</f>
        <v>-1950</v>
      </c>
      <c r="X116" s="24">
        <f>J116+Q116</f>
        <v>0</v>
      </c>
      <c r="Y116" s="25">
        <f>K116+R116</f>
        <v>-2600</v>
      </c>
    </row>
    <row r="117" spans="1:36" s="4" customFormat="1" ht="9.75" customHeight="1" x14ac:dyDescent="0.15">
      <c r="A117" s="61" t="s">
        <v>11</v>
      </c>
      <c r="B117" s="49">
        <v>0</v>
      </c>
      <c r="C117" s="92">
        <f>D117/1000</f>
        <v>0</v>
      </c>
      <c r="D117" s="74"/>
      <c r="E117" s="75"/>
      <c r="F117" s="74">
        <f t="shared" si="70"/>
        <v>0</v>
      </c>
      <c r="G117" s="3"/>
      <c r="H117" s="75">
        <f>L117/2</f>
        <v>0</v>
      </c>
      <c r="I117" s="75">
        <v>-2600000</v>
      </c>
      <c r="J117" s="75">
        <v>0</v>
      </c>
      <c r="K117" s="74">
        <f>L117/1000</f>
        <v>0</v>
      </c>
      <c r="L117" s="75"/>
      <c r="M117" s="41">
        <f>N117/1000*-1</f>
        <v>-3874.373</v>
      </c>
      <c r="N117" s="9">
        <f>1250+3873123</f>
        <v>3874373</v>
      </c>
      <c r="O117" s="101">
        <f>P117/1000*-1</f>
        <v>-1950</v>
      </c>
      <c r="P117" s="106">
        <f>S117*0.75</f>
        <v>1950000</v>
      </c>
      <c r="Q117" s="106"/>
      <c r="R117" s="101">
        <f>S117/1000*-1</f>
        <v>-2600</v>
      </c>
      <c r="S117" s="106">
        <v>2600000</v>
      </c>
      <c r="T117" s="3">
        <f>3873123+1250</f>
        <v>3874373</v>
      </c>
      <c r="U117" s="82"/>
      <c r="V117" s="33">
        <f>C117+M117</f>
        <v>-3874.373</v>
      </c>
      <c r="W117" s="9">
        <f>F117+O117</f>
        <v>-1950</v>
      </c>
      <c r="X117" s="33">
        <f>J117+Q117</f>
        <v>0</v>
      </c>
      <c r="Y117" s="41">
        <f>K117+R117</f>
        <v>-2600</v>
      </c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1:36" s="4" customFormat="1" ht="9" customHeight="1" x14ac:dyDescent="0.15">
      <c r="A118" s="61"/>
      <c r="B118" s="49"/>
      <c r="C118" s="92"/>
      <c r="D118" s="74"/>
      <c r="E118" s="75"/>
      <c r="F118" s="74">
        <f t="shared" si="70"/>
        <v>0</v>
      </c>
      <c r="G118" s="3"/>
      <c r="H118" s="75"/>
      <c r="I118" s="75"/>
      <c r="J118" s="75"/>
      <c r="K118" s="74"/>
      <c r="L118" s="75"/>
      <c r="M118" s="41"/>
      <c r="N118" s="9"/>
      <c r="O118" s="101"/>
      <c r="P118" s="106"/>
      <c r="Q118" s="106"/>
      <c r="R118" s="101"/>
      <c r="S118" s="106"/>
      <c r="T118" s="3"/>
      <c r="U118" s="82"/>
      <c r="V118" s="33"/>
      <c r="W118" s="9"/>
      <c r="X118" s="33"/>
      <c r="Y118" s="41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1:36" s="29" customFormat="1" ht="9.75" customHeight="1" x14ac:dyDescent="0.15">
      <c r="A119" s="66" t="s">
        <v>119</v>
      </c>
      <c r="B119" s="49">
        <v>0</v>
      </c>
      <c r="C119" s="92">
        <v>3</v>
      </c>
      <c r="D119" s="74"/>
      <c r="E119" s="75"/>
      <c r="F119" s="74">
        <f t="shared" si="70"/>
        <v>1950</v>
      </c>
      <c r="G119" s="24"/>
      <c r="H119" s="75">
        <f>L119*0.75</f>
        <v>1950000</v>
      </c>
      <c r="I119" s="75"/>
      <c r="J119" s="75"/>
      <c r="K119" s="74">
        <v>2600</v>
      </c>
      <c r="L119" s="75">
        <v>2600000</v>
      </c>
      <c r="M119" s="25">
        <v>0</v>
      </c>
      <c r="N119" s="24"/>
      <c r="O119" s="101">
        <v>0</v>
      </c>
      <c r="P119" s="106"/>
      <c r="Q119" s="106">
        <v>0</v>
      </c>
      <c r="R119" s="101">
        <v>0</v>
      </c>
      <c r="S119" s="106"/>
      <c r="T119" s="24"/>
      <c r="U119" s="82"/>
      <c r="V119" s="24">
        <v>0</v>
      </c>
      <c r="W119" s="24">
        <v>0</v>
      </c>
      <c r="X119" s="24">
        <f>J119+Q119</f>
        <v>0</v>
      </c>
      <c r="Y119" s="25">
        <f>K119+R119</f>
        <v>2600</v>
      </c>
    </row>
    <row r="120" spans="1:36" s="4" customFormat="1" ht="9" x14ac:dyDescent="0.15">
      <c r="A120" s="61" t="s">
        <v>82</v>
      </c>
      <c r="B120" s="49">
        <v>0</v>
      </c>
      <c r="C120" s="92">
        <f>D120/1000</f>
        <v>2.9470000000000001</v>
      </c>
      <c r="D120" s="74">
        <f>E120+U120</f>
        <v>2947</v>
      </c>
      <c r="E120" s="75">
        <v>2947</v>
      </c>
      <c r="F120" s="74">
        <f t="shared" si="70"/>
        <v>0</v>
      </c>
      <c r="G120" s="3"/>
      <c r="H120" s="75">
        <f>L120/2</f>
        <v>0</v>
      </c>
      <c r="I120" s="75"/>
      <c r="J120" s="75"/>
      <c r="K120" s="74">
        <f>L120/1000</f>
        <v>0</v>
      </c>
      <c r="L120" s="75"/>
      <c r="M120" s="41">
        <f>N120/1000*-1</f>
        <v>0</v>
      </c>
      <c r="N120" s="9"/>
      <c r="O120" s="101">
        <f>P120/1000*-1</f>
        <v>0</v>
      </c>
      <c r="P120" s="106">
        <f>S120/2</f>
        <v>0</v>
      </c>
      <c r="Q120" s="106">
        <v>0</v>
      </c>
      <c r="R120" s="101">
        <f>S120/1000*-1</f>
        <v>0</v>
      </c>
      <c r="S120" s="106"/>
      <c r="T120" s="3"/>
      <c r="U120" s="82"/>
      <c r="V120" s="33">
        <f>C120+M120</f>
        <v>2.9470000000000001</v>
      </c>
      <c r="W120" s="9">
        <f>F120+O120</f>
        <v>0</v>
      </c>
      <c r="X120" s="33">
        <f>J120+Q120</f>
        <v>0</v>
      </c>
      <c r="Y120" s="41">
        <v>0</v>
      </c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1:36" s="4" customFormat="1" ht="9" x14ac:dyDescent="0.15">
      <c r="A121" s="67" t="s">
        <v>95</v>
      </c>
      <c r="B121" s="71">
        <f>B10+B11+B12+B18+B21+B28+B31+B36+B42+B46+B49+B53+B67+B73+B84+B96+B97+B98+B99+B100+B103+B104+B105+B109+B110+B111+B112+B113+B116+B114+B106</f>
        <v>57.070000000000007</v>
      </c>
      <c r="C121" s="92">
        <f>D121/1000</f>
        <v>53590.027139999998</v>
      </c>
      <c r="D121" s="77">
        <f>D116+D108+D102+D95+D72+D20+D9+D120</f>
        <v>53590027.140000001</v>
      </c>
      <c r="E121" s="77">
        <f>E116+E108+E102+E95+E72+E20+E9+E120</f>
        <v>29827054.459999997</v>
      </c>
      <c r="F121" s="74">
        <f t="shared" si="70"/>
        <v>59063.994749999998</v>
      </c>
      <c r="G121" s="27">
        <f>G116+G108+G102+G95+G72+G20+G9</f>
        <v>21834426.5</v>
      </c>
      <c r="H121" s="77">
        <f>H116+H108+H102+H95+H72+H20+H9+H119</f>
        <v>59063994.75</v>
      </c>
      <c r="I121" s="77">
        <f>I116+I108+I102+I95+I72+I20+I9</f>
        <v>41910169</v>
      </c>
      <c r="J121" s="97">
        <f>J108+J102+J72+J20+J9+J119+J95</f>
        <v>0</v>
      </c>
      <c r="K121" s="74">
        <f>L121/1000</f>
        <v>78751.993000000002</v>
      </c>
      <c r="L121" s="74">
        <f>L116+L108+L102+L95+L72+L20+L9+L119</f>
        <v>78751993</v>
      </c>
      <c r="M121" s="41">
        <f>N121/1000*-1</f>
        <v>-59318.537799999998</v>
      </c>
      <c r="N121" s="26">
        <f>N116+N108+N102+N95+N72+N20</f>
        <v>59318537.799999997</v>
      </c>
      <c r="O121" s="101">
        <f>P121/1000*-1</f>
        <v>-57115.133999999998</v>
      </c>
      <c r="P121" s="108">
        <f>P116+P108+P102+P95+P72+P20+P9</f>
        <v>57115134</v>
      </c>
      <c r="Q121" s="110">
        <f>Q116+Q108+Q102+Q95+Q72+Q20+Q9</f>
        <v>0</v>
      </c>
      <c r="R121" s="101">
        <f>S121/1000*-1</f>
        <v>-76153.512000000002</v>
      </c>
      <c r="S121" s="108">
        <f>S116+S108+S102+S95+S72+S20+S9</f>
        <v>76153512</v>
      </c>
      <c r="T121" s="111">
        <f>T116+T108+T102+T95+T72+T20</f>
        <v>57729480.579999998</v>
      </c>
      <c r="U121" s="109">
        <f>U10+U11+U12+U18+U21+U28+U31+U36+U42+U46+U49+U53+U67+U73+U84+U96+U97+U98+U99+U100+U103+U104+U105+U109+U110+U111+U112+U113+U116+U114+U106</f>
        <v>23762972.679999996</v>
      </c>
      <c r="V121" s="33">
        <f>C121+M121</f>
        <v>-5728.5106599999999</v>
      </c>
      <c r="W121" s="9">
        <f>F121+O121+1</f>
        <v>1949.8607499999998</v>
      </c>
      <c r="X121" s="33">
        <f>J121+Q121</f>
        <v>0</v>
      </c>
      <c r="Y121" s="41">
        <f>K121+R121</f>
        <v>2598.4809999999998</v>
      </c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1:36" s="5" customFormat="1" x14ac:dyDescent="0.15">
      <c r="A122" s="68"/>
      <c r="B122" s="55"/>
      <c r="C122" s="90"/>
      <c r="D122" s="86"/>
      <c r="E122" s="70"/>
      <c r="F122" s="70"/>
      <c r="G122" s="6"/>
      <c r="H122" s="70"/>
      <c r="I122" s="70"/>
      <c r="J122" s="70"/>
      <c r="K122" s="70"/>
      <c r="L122" s="70"/>
      <c r="M122" s="45"/>
      <c r="N122" s="21"/>
      <c r="O122" s="98"/>
      <c r="P122" s="98"/>
      <c r="Q122" s="98"/>
      <c r="R122" s="98"/>
      <c r="S122" s="98"/>
      <c r="T122" s="6"/>
      <c r="U122" s="78"/>
      <c r="V122" s="47"/>
      <c r="W122" s="23"/>
      <c r="X122" s="37"/>
      <c r="Y122" s="42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s="5" customFormat="1" x14ac:dyDescent="0.15">
      <c r="A123" s="69"/>
      <c r="B123" s="55"/>
      <c r="C123" s="90"/>
      <c r="D123" s="86"/>
      <c r="E123" s="113" t="s">
        <v>128</v>
      </c>
      <c r="F123" s="70"/>
      <c r="G123" s="6"/>
      <c r="H123" s="70"/>
      <c r="I123" s="70"/>
      <c r="J123" s="70"/>
      <c r="K123" s="70"/>
      <c r="L123" s="70"/>
      <c r="M123" s="45"/>
      <c r="N123" s="21"/>
      <c r="O123" s="98"/>
      <c r="P123" s="98"/>
      <c r="Q123" s="98"/>
      <c r="R123" s="98"/>
      <c r="S123" s="98"/>
      <c r="T123" s="6"/>
      <c r="U123" s="78"/>
      <c r="V123" s="47"/>
      <c r="W123" s="23"/>
      <c r="X123" s="37"/>
      <c r="Y123" s="42"/>
    </row>
    <row r="124" spans="1:36" x14ac:dyDescent="0.15">
      <c r="B124" s="56"/>
      <c r="C124" s="94"/>
      <c r="D124" s="86" t="s">
        <v>130</v>
      </c>
      <c r="E124" s="70" t="s">
        <v>129</v>
      </c>
      <c r="M124" s="45"/>
      <c r="N124" s="21"/>
    </row>
    <row r="125" spans="1:36" s="5" customFormat="1" x14ac:dyDescent="0.15">
      <c r="A125" s="69"/>
      <c r="B125" s="56"/>
      <c r="C125" s="94"/>
      <c r="D125" s="86"/>
      <c r="E125" s="70"/>
      <c r="F125" s="70"/>
      <c r="G125" s="6"/>
      <c r="H125" s="70"/>
      <c r="I125" s="70"/>
      <c r="J125" s="70"/>
      <c r="K125" s="70"/>
      <c r="L125" s="70"/>
      <c r="M125" s="45"/>
      <c r="N125" s="21"/>
      <c r="O125" s="98"/>
      <c r="P125" s="98"/>
      <c r="Q125" s="98"/>
      <c r="R125" s="98"/>
      <c r="S125" s="98"/>
      <c r="T125" s="6"/>
      <c r="U125" s="78"/>
      <c r="V125" s="47"/>
      <c r="W125" s="23"/>
      <c r="X125" s="37"/>
      <c r="Y125" s="42"/>
    </row>
    <row r="126" spans="1:36" x14ac:dyDescent="0.15">
      <c r="M126" s="46"/>
      <c r="N126" s="21"/>
    </row>
    <row r="127" spans="1:36" x14ac:dyDescent="0.15">
      <c r="N127" s="21"/>
    </row>
    <row r="128" spans="1:36" x14ac:dyDescent="0.15">
      <c r="N128" s="21"/>
    </row>
    <row r="129" spans="14:14" x14ac:dyDescent="0.15">
      <c r="N129" s="21"/>
    </row>
    <row r="130" spans="14:14" x14ac:dyDescent="0.15">
      <c r="N130" s="21"/>
    </row>
    <row r="131" spans="14:14" x14ac:dyDescent="0.15">
      <c r="N131" s="21"/>
    </row>
    <row r="132" spans="14:14" x14ac:dyDescent="0.15">
      <c r="N132" s="21"/>
    </row>
    <row r="133" spans="14:14" x14ac:dyDescent="0.15">
      <c r="N133" s="21"/>
    </row>
    <row r="134" spans="14:14" x14ac:dyDescent="0.15">
      <c r="N134" s="21"/>
    </row>
    <row r="135" spans="14:14" x14ac:dyDescent="0.15">
      <c r="N135" s="21"/>
    </row>
    <row r="136" spans="14:14" x14ac:dyDescent="0.15">
      <c r="N136" s="21"/>
    </row>
    <row r="137" spans="14:14" x14ac:dyDescent="0.15">
      <c r="N137" s="21"/>
    </row>
    <row r="138" spans="14:14" x14ac:dyDescent="0.15">
      <c r="N138" s="21"/>
    </row>
    <row r="139" spans="14:14" x14ac:dyDescent="0.15">
      <c r="N139" s="21"/>
    </row>
    <row r="140" spans="14:14" x14ac:dyDescent="0.15">
      <c r="N140" s="21"/>
    </row>
    <row r="141" spans="14:14" x14ac:dyDescent="0.15">
      <c r="N141" s="21"/>
    </row>
    <row r="142" spans="14:14" x14ac:dyDescent="0.15">
      <c r="N142" s="21"/>
    </row>
    <row r="143" spans="14:14" x14ac:dyDescent="0.15">
      <c r="N143" s="21"/>
    </row>
    <row r="144" spans="14:14" x14ac:dyDescent="0.15">
      <c r="N144" s="21"/>
    </row>
    <row r="145" spans="14:14" x14ac:dyDescent="0.15">
      <c r="N145" s="21"/>
    </row>
    <row r="146" spans="14:14" x14ac:dyDescent="0.15">
      <c r="N146" s="21"/>
    </row>
    <row r="147" spans="14:14" x14ac:dyDescent="0.15">
      <c r="N147" s="21"/>
    </row>
    <row r="148" spans="14:14" x14ac:dyDescent="0.15">
      <c r="N148" s="21"/>
    </row>
    <row r="149" spans="14:14" x14ac:dyDescent="0.15">
      <c r="N149" s="21"/>
    </row>
    <row r="150" spans="14:14" x14ac:dyDescent="0.15">
      <c r="N150" s="21"/>
    </row>
    <row r="151" spans="14:14" x14ac:dyDescent="0.15">
      <c r="N151" s="21"/>
    </row>
    <row r="152" spans="14:14" x14ac:dyDescent="0.15">
      <c r="N152" s="21"/>
    </row>
    <row r="153" spans="14:14" x14ac:dyDescent="0.15">
      <c r="N153" s="21"/>
    </row>
    <row r="154" spans="14:14" x14ac:dyDescent="0.15">
      <c r="N154" s="21"/>
    </row>
    <row r="155" spans="14:14" x14ac:dyDescent="0.15">
      <c r="N155" s="21"/>
    </row>
    <row r="156" spans="14:14" x14ac:dyDescent="0.15">
      <c r="N156" s="21"/>
    </row>
    <row r="157" spans="14:14" x14ac:dyDescent="0.15">
      <c r="N157" s="21"/>
    </row>
    <row r="158" spans="14:14" x14ac:dyDescent="0.15">
      <c r="N158" s="21"/>
    </row>
    <row r="159" spans="14:14" x14ac:dyDescent="0.15">
      <c r="N159" s="21"/>
    </row>
    <row r="160" spans="14:14" x14ac:dyDescent="0.15">
      <c r="N160" s="21"/>
    </row>
    <row r="161" spans="14:14" x14ac:dyDescent="0.15">
      <c r="N161" s="21"/>
    </row>
    <row r="162" spans="14:14" x14ac:dyDescent="0.15">
      <c r="N162" s="21"/>
    </row>
    <row r="163" spans="14:14" x14ac:dyDescent="0.15">
      <c r="N163" s="21"/>
    </row>
    <row r="164" spans="14:14" x14ac:dyDescent="0.15">
      <c r="N164" s="21"/>
    </row>
    <row r="165" spans="14:14" x14ac:dyDescent="0.15">
      <c r="N165" s="21"/>
    </row>
    <row r="166" spans="14:14" x14ac:dyDescent="0.15">
      <c r="N166" s="21"/>
    </row>
  </sheetData>
  <mergeCells count="4">
    <mergeCell ref="C6:K6"/>
    <mergeCell ref="M6:R6"/>
    <mergeCell ref="A4:W4"/>
    <mergeCell ref="V6:Y6"/>
  </mergeCells>
  <phoneticPr fontId="2" type="noConversion"/>
  <pageMargins left="0.94488188976377963" right="0.55118110236220474" top="0.27559055118110237" bottom="0.19685039370078741" header="0.31496062992125984" footer="0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390"/>
  <sheetViews>
    <sheetView tabSelected="1" zoomScale="120" zoomScaleNormal="120" workbookViewId="0">
      <pane xSplit="1" topLeftCell="B1" activePane="topRight" state="frozen"/>
      <selection activeCell="A137" sqref="A137"/>
      <selection pane="topRight" activeCell="Q88" sqref="Q88"/>
    </sheetView>
  </sheetViews>
  <sheetFormatPr defaultRowHeight="10.5" x14ac:dyDescent="0.15"/>
  <cols>
    <col min="1" max="1" width="30.7109375" style="39" customWidth="1"/>
    <col min="2" max="2" width="6.7109375" style="213" customWidth="1"/>
    <col min="3" max="3" width="8" style="121" customWidth="1"/>
    <col min="4" max="4" width="12.7109375" style="122" hidden="1" customWidth="1"/>
    <col min="5" max="5" width="11.85546875" style="270" hidden="1" customWidth="1"/>
    <col min="6" max="6" width="8" style="192" customWidth="1"/>
    <col min="7" max="7" width="10.5703125" style="192" hidden="1" customWidth="1"/>
    <col min="8" max="8" width="14" style="47" hidden="1" customWidth="1"/>
    <col min="9" max="9" width="12.140625" style="197" hidden="1" customWidth="1"/>
    <col min="10" max="10" width="7.42578125" style="302" customWidth="1"/>
    <col min="11" max="11" width="7.7109375" style="47" customWidth="1"/>
    <col min="12" max="12" width="16" style="197" hidden="1" customWidth="1"/>
    <col min="13" max="13" width="7.42578125" style="192" customWidth="1"/>
    <col min="14" max="14" width="10.140625" style="47" hidden="1" customWidth="1"/>
    <col min="15" max="15" width="8.42578125" style="395" customWidth="1"/>
    <col min="16" max="16" width="10.85546875" style="396" hidden="1" customWidth="1"/>
    <col min="17" max="17" width="7.42578125" style="420" customWidth="1"/>
    <col min="18" max="18" width="8.42578125" style="47" customWidth="1"/>
    <col min="19" max="19" width="14.140625" style="197" hidden="1" customWidth="1"/>
    <col min="20" max="20" width="20.7109375" style="261" hidden="1" customWidth="1"/>
    <col min="21" max="21" width="16.7109375" style="206" hidden="1" customWidth="1"/>
    <col min="22" max="22" width="7.28515625" style="47" customWidth="1"/>
    <col min="23" max="23" width="7.5703125" style="47" customWidth="1"/>
    <col min="24" max="24" width="7.7109375" style="235" customWidth="1"/>
    <col min="25" max="25" width="7.7109375" style="39" customWidth="1"/>
    <col min="26" max="26" width="11.85546875" style="39" hidden="1" customWidth="1"/>
    <col min="27" max="29" width="0" style="39" hidden="1" customWidth="1"/>
    <col min="30" max="30" width="12" style="39" customWidth="1"/>
    <col min="31" max="31" width="13.140625" style="39" bestFit="1" customWidth="1"/>
    <col min="32" max="32" width="14.85546875" style="39" bestFit="1" customWidth="1"/>
    <col min="33" max="37" width="9.140625" style="39"/>
    <col min="38" max="38" width="9.42578125" style="39" customWidth="1"/>
    <col min="39" max="16384" width="9.140625" style="39"/>
  </cols>
  <sheetData>
    <row r="1" spans="1:30" ht="10.5" customHeight="1" x14ac:dyDescent="0.15">
      <c r="J1" s="298"/>
      <c r="Q1" s="396"/>
      <c r="X1" s="445" t="s">
        <v>444</v>
      </c>
      <c r="Y1" s="445"/>
    </row>
    <row r="2" spans="1:30" ht="12.75" customHeight="1" x14ac:dyDescent="0.15">
      <c r="D2" s="122">
        <f>D177</f>
        <v>43307614.789999999</v>
      </c>
      <c r="J2" s="298"/>
      <c r="L2" s="197">
        <f>L177</f>
        <v>83990086</v>
      </c>
      <c r="Q2" s="396"/>
      <c r="X2" s="445"/>
      <c r="Y2" s="445"/>
    </row>
    <row r="3" spans="1:30" x14ac:dyDescent="0.15">
      <c r="J3" s="298"/>
      <c r="N3" s="38"/>
      <c r="Q3" s="396"/>
      <c r="U3" s="206">
        <f>U14+U30+U35+U36+U37+U38+U39+U46+U57+U63+U69+U77+U81+U86+U102+U108+U114+U117+U122+U136+U148+U149+U150++U154+U156+U161+U162+U164+U165+U166+U167+U168+U169+U171+U158</f>
        <v>17472074.940000009</v>
      </c>
      <c r="X3" s="445"/>
      <c r="Y3" s="445"/>
    </row>
    <row r="4" spans="1:30" x14ac:dyDescent="0.15">
      <c r="J4" s="298"/>
      <c r="N4" s="38"/>
      <c r="Q4" s="396"/>
      <c r="X4" s="445"/>
      <c r="Y4" s="445"/>
    </row>
    <row r="5" spans="1:30" x14ac:dyDescent="0.15">
      <c r="J5" s="298"/>
      <c r="N5" s="38"/>
      <c r="Q5" s="396"/>
      <c r="X5" s="445"/>
      <c r="Y5" s="445"/>
    </row>
    <row r="6" spans="1:30" x14ac:dyDescent="0.15">
      <c r="A6" s="447" t="s">
        <v>443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5"/>
      <c r="Y6" s="445"/>
    </row>
    <row r="7" spans="1:30" x14ac:dyDescent="0.15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97"/>
      <c r="P7" s="397"/>
      <c r="Q7" s="397"/>
      <c r="R7" s="377"/>
      <c r="S7" s="377"/>
      <c r="T7" s="377"/>
      <c r="U7" s="377"/>
      <c r="V7" s="377"/>
      <c r="W7" s="377"/>
      <c r="X7" s="445"/>
      <c r="Y7" s="445"/>
    </row>
    <row r="8" spans="1:30" x14ac:dyDescent="0.15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97"/>
      <c r="P8" s="397"/>
      <c r="Q8" s="397"/>
      <c r="R8" s="377"/>
      <c r="S8" s="377"/>
      <c r="T8" s="377"/>
      <c r="U8" s="377"/>
      <c r="V8" s="377"/>
      <c r="W8" s="377"/>
      <c r="X8" s="445"/>
      <c r="Y8" s="445"/>
    </row>
    <row r="9" spans="1:30" x14ac:dyDescent="0.15">
      <c r="J9" s="298"/>
      <c r="Q9" s="396"/>
      <c r="X9" s="446"/>
      <c r="Y9" s="446"/>
    </row>
    <row r="10" spans="1:30" x14ac:dyDescent="0.15">
      <c r="A10" s="124" t="s">
        <v>114</v>
      </c>
      <c r="B10" s="212"/>
      <c r="C10" s="431" t="s">
        <v>111</v>
      </c>
      <c r="D10" s="432"/>
      <c r="E10" s="432"/>
      <c r="F10" s="432"/>
      <c r="G10" s="432"/>
      <c r="H10" s="432"/>
      <c r="I10" s="432"/>
      <c r="J10" s="432"/>
      <c r="K10" s="433"/>
      <c r="L10" s="198" t="s">
        <v>42</v>
      </c>
      <c r="M10" s="434" t="s">
        <v>112</v>
      </c>
      <c r="N10" s="435"/>
      <c r="O10" s="435"/>
      <c r="P10" s="435"/>
      <c r="Q10" s="435"/>
      <c r="R10" s="436"/>
      <c r="S10" s="219" t="s">
        <v>43</v>
      </c>
      <c r="T10" s="262" t="s">
        <v>441</v>
      </c>
      <c r="U10" s="207" t="s">
        <v>442</v>
      </c>
      <c r="V10" s="438" t="s">
        <v>113</v>
      </c>
      <c r="W10" s="439"/>
      <c r="X10" s="439"/>
      <c r="Y10" s="440"/>
    </row>
    <row r="11" spans="1:30" x14ac:dyDescent="0.15">
      <c r="A11" s="129" t="s">
        <v>96</v>
      </c>
      <c r="B11" s="214" t="s">
        <v>36</v>
      </c>
      <c r="C11" s="130" t="s">
        <v>243</v>
      </c>
      <c r="D11" s="131"/>
      <c r="E11" s="271" t="s">
        <v>121</v>
      </c>
      <c r="F11" s="193" t="s">
        <v>247</v>
      </c>
      <c r="G11" s="224"/>
      <c r="H11" s="44" t="s">
        <v>354</v>
      </c>
      <c r="I11" s="199" t="s">
        <v>123</v>
      </c>
      <c r="J11" s="299" t="s">
        <v>358</v>
      </c>
      <c r="K11" s="40" t="s">
        <v>359</v>
      </c>
      <c r="L11" s="199" t="s">
        <v>360</v>
      </c>
      <c r="M11" s="224" t="s">
        <v>243</v>
      </c>
      <c r="N11" s="44"/>
      <c r="O11" s="398" t="s">
        <v>249</v>
      </c>
      <c r="P11" s="399" t="s">
        <v>89</v>
      </c>
      <c r="Q11" s="400" t="s">
        <v>358</v>
      </c>
      <c r="R11" s="40" t="s">
        <v>359</v>
      </c>
      <c r="S11" s="199"/>
      <c r="T11" s="263"/>
      <c r="U11" s="208"/>
      <c r="V11" s="40" t="s">
        <v>243</v>
      </c>
      <c r="W11" s="40" t="s">
        <v>251</v>
      </c>
      <c r="X11" s="312" t="s">
        <v>358</v>
      </c>
      <c r="Y11" s="40" t="s">
        <v>359</v>
      </c>
    </row>
    <row r="12" spans="1:30" ht="9" customHeight="1" x14ac:dyDescent="0.15">
      <c r="A12" s="133"/>
      <c r="B12" s="314">
        <f>B177</f>
        <v>60.54999999999999</v>
      </c>
      <c r="C12" s="135"/>
      <c r="D12" s="136" t="s">
        <v>41</v>
      </c>
      <c r="E12" s="272" t="s">
        <v>40</v>
      </c>
      <c r="F12" s="222"/>
      <c r="G12" s="194"/>
      <c r="H12" s="36"/>
      <c r="I12" s="200"/>
      <c r="J12" s="300"/>
      <c r="K12" s="36"/>
      <c r="L12" s="200"/>
      <c r="M12" s="194"/>
      <c r="N12" s="190"/>
      <c r="O12" s="401"/>
      <c r="P12" s="402"/>
      <c r="Q12" s="403"/>
      <c r="R12" s="36"/>
      <c r="S12" s="220"/>
      <c r="T12" s="264"/>
      <c r="U12" s="208">
        <v>17472074.940000001</v>
      </c>
      <c r="V12" s="48"/>
      <c r="W12" s="48"/>
      <c r="X12" s="230"/>
      <c r="Y12" s="36"/>
    </row>
    <row r="13" spans="1:30" s="291" customFormat="1" ht="10.5" customHeight="1" x14ac:dyDescent="0.15">
      <c r="A13" s="318" t="s">
        <v>49</v>
      </c>
      <c r="B13" s="392">
        <f>B14+B15+B30+B35+B36+B37+B39+B38+B40+B41+B43+B44</f>
        <v>12</v>
      </c>
      <c r="C13" s="280">
        <f>C14+C15+C30+C35+C36+C37+C39+C38+C40+C41+C43+C44</f>
        <v>3755.1398913955427</v>
      </c>
      <c r="D13" s="315">
        <f t="shared" ref="D13:R13" si="0">D14+D15+D30+D35+D36+D37+D39+D38+D40+D41+D43+D44</f>
        <v>3755139.8913955423</v>
      </c>
      <c r="E13" s="315">
        <f>SUM(E14:E39)</f>
        <v>292466.07999999996</v>
      </c>
      <c r="F13" s="280">
        <f>K13/2*1</f>
        <v>3731.8500000000004</v>
      </c>
      <c r="G13" s="315">
        <f>L13/4*1</f>
        <v>1865925</v>
      </c>
      <c r="H13" s="315">
        <f>L13-I13</f>
        <v>6863700</v>
      </c>
      <c r="I13" s="315">
        <f>I14+I30+I35+I36+I37+I38+I39</f>
        <v>600000</v>
      </c>
      <c r="J13" s="280">
        <f>K13</f>
        <v>7463.7000000000007</v>
      </c>
      <c r="K13" s="280">
        <f>K14+K15+K30+K35+K36+K37+K39+K38+K40+K41+K43+K44</f>
        <v>7463.7000000000007</v>
      </c>
      <c r="L13" s="294">
        <f>L14+L15+L30+L35+L36+L37+L39+L38+L40+L41+L43+L44</f>
        <v>7463700</v>
      </c>
      <c r="M13" s="315">
        <f>M14+M15+M30+M35+M36+M37+M39+M38+M40+M41+M43+M44</f>
        <v>-15.5</v>
      </c>
      <c r="N13" s="280">
        <f t="shared" si="0"/>
        <v>0</v>
      </c>
      <c r="O13" s="404">
        <f>R13/2</f>
        <v>-30</v>
      </c>
      <c r="P13" s="404">
        <f>S13/4*3</f>
        <v>45000</v>
      </c>
      <c r="Q13" s="404">
        <f>-45</f>
        <v>-45</v>
      </c>
      <c r="R13" s="315">
        <f t="shared" si="0"/>
        <v>-60</v>
      </c>
      <c r="S13" s="280">
        <f>S14+S15+S30+S35+S36+S37+S39+S38+S40+S41+S43+S44</f>
        <v>60000</v>
      </c>
      <c r="T13" s="280">
        <f>T14+T15+T30+T35+T36+T37+T39+T38+T40+T41+T43+T44</f>
        <v>15500</v>
      </c>
      <c r="U13" s="280">
        <f>U14+U30+U35+U36+U38+U37+U39</f>
        <v>3462673.8113955422</v>
      </c>
      <c r="V13" s="280">
        <f>V14+V15+V30+V35+V36+V37+V39+V38+V40+V41+V43+V44</f>
        <v>3739.6398913955427</v>
      </c>
      <c r="W13" s="280">
        <f>W14+W15+W30+W35+W36+W37+W39+W38+W40+W41+W43+W44</f>
        <v>3701.8500000000004</v>
      </c>
      <c r="X13" s="310">
        <f>SUM(X14:X39)</f>
        <v>7418.7000000000007</v>
      </c>
      <c r="Y13" s="280">
        <f>Y14+Y15+Y30+Y35+Y36+Y37+Y39+Y38+Y40+Y41+Y43+Y44</f>
        <v>7403.7000000000007</v>
      </c>
      <c r="Z13" s="250">
        <f>J13-C13</f>
        <v>3708.560108604458</v>
      </c>
      <c r="AA13" s="192">
        <f>M13-Q13</f>
        <v>29.5</v>
      </c>
      <c r="AB13" s="252"/>
      <c r="AD13" s="252"/>
    </row>
    <row r="14" spans="1:30" ht="9.9499999999999993" customHeight="1" x14ac:dyDescent="0.15">
      <c r="A14" s="152" t="s">
        <v>435</v>
      </c>
      <c r="B14" s="125">
        <f>4.7+1</f>
        <v>5.7</v>
      </c>
      <c r="C14" s="284">
        <f t="shared" ref="C14:C77" si="1">D14/1000</f>
        <v>1813.7012704128826</v>
      </c>
      <c r="D14" s="41">
        <f t="shared" ref="D14:D77" si="2">E14+U14</f>
        <v>1813701.2704128826</v>
      </c>
      <c r="E14" s="342">
        <f>151677.49+17253.72</f>
        <v>168931.21</v>
      </c>
      <c r="F14" s="301">
        <f>K14/2*1</f>
        <v>1780.1289999999999</v>
      </c>
      <c r="G14" s="258">
        <f>L14/4*1</f>
        <v>890064.5</v>
      </c>
      <c r="H14" s="258">
        <f>L14-I14</f>
        <v>3260258</v>
      </c>
      <c r="I14" s="315">
        <v>300000</v>
      </c>
      <c r="J14" s="305">
        <f t="shared" ref="J14:J76" si="3">K14</f>
        <v>3560.2579999999998</v>
      </c>
      <c r="K14" s="281">
        <f t="shared" ref="K14:K29" si="4">L14/1000</f>
        <v>3560.2579999999998</v>
      </c>
      <c r="L14" s="319">
        <f>2988283+571975</f>
        <v>3560258</v>
      </c>
      <c r="M14" s="257">
        <f>SUM(M15:M29)</f>
        <v>0</v>
      </c>
      <c r="N14" s="279">
        <f t="shared" ref="N14:T14" si="5">SUM(N15:N29)</f>
        <v>0</v>
      </c>
      <c r="O14" s="405">
        <f t="shared" ref="O14:O77" si="6">R14/4*1</f>
        <v>0</v>
      </c>
      <c r="P14" s="406">
        <f t="shared" ref="P14:P77" si="7">S14/4*3</f>
        <v>0</v>
      </c>
      <c r="Q14" s="309">
        <f t="shared" ref="Q14:Q77" si="8">R14</f>
        <v>0</v>
      </c>
      <c r="R14" s="41">
        <f t="shared" ref="R14:R79" si="9">S14/1000*-1</f>
        <v>0</v>
      </c>
      <c r="S14" s="279">
        <f t="shared" si="5"/>
        <v>0</v>
      </c>
      <c r="T14" s="282">
        <f t="shared" si="5"/>
        <v>0</v>
      </c>
      <c r="U14" s="210">
        <f t="shared" ref="U14:U85" si="10">$U$12/$B$12*B14</f>
        <v>1644770.0604128826</v>
      </c>
      <c r="V14" s="284">
        <f t="shared" ref="V14:V76" si="11">C14+M14</f>
        <v>1813.7012704128826</v>
      </c>
      <c r="W14" s="33">
        <f t="shared" ref="W14:W29" si="12">F14+O14</f>
        <v>1780.1289999999999</v>
      </c>
      <c r="X14" s="306">
        <f>J14+Q14</f>
        <v>3560.2579999999998</v>
      </c>
      <c r="Y14" s="281">
        <f t="shared" ref="X14:Y29" si="13">K14+R14</f>
        <v>3560.2579999999998</v>
      </c>
      <c r="Z14" s="250">
        <f t="shared" ref="Z14:Z77" si="14">J14-C14</f>
        <v>1746.5567295871172</v>
      </c>
      <c r="AA14" s="174">
        <f t="shared" ref="AA14:AA77" si="15">M14-Q14</f>
        <v>0</v>
      </c>
      <c r="AB14" s="252"/>
      <c r="AD14" s="252"/>
    </row>
    <row r="15" spans="1:30" ht="9.9499999999999993" hidden="1" customHeight="1" x14ac:dyDescent="0.15">
      <c r="A15" s="142"/>
      <c r="B15" s="125"/>
      <c r="C15" s="284">
        <f t="shared" si="1"/>
        <v>0</v>
      </c>
      <c r="D15" s="41">
        <f t="shared" si="2"/>
        <v>0</v>
      </c>
      <c r="E15" s="273"/>
      <c r="F15" s="301">
        <f t="shared" ref="F15:F39" si="16">K15/2*1</f>
        <v>0</v>
      </c>
      <c r="G15" s="258">
        <f t="shared" ref="G15:G78" si="17">L15/4*1</f>
        <v>0</v>
      </c>
      <c r="H15" s="246">
        <f t="shared" ref="H15:H78" si="18">L15-I15</f>
        <v>0</v>
      </c>
      <c r="I15" s="315"/>
      <c r="J15" s="305">
        <f t="shared" si="3"/>
        <v>0</v>
      </c>
      <c r="K15" s="281">
        <f t="shared" si="4"/>
        <v>0</v>
      </c>
      <c r="L15" s="198"/>
      <c r="M15" s="195"/>
      <c r="N15" s="33"/>
      <c r="O15" s="405">
        <f t="shared" si="6"/>
        <v>0</v>
      </c>
      <c r="P15" s="406">
        <f t="shared" si="7"/>
        <v>0</v>
      </c>
      <c r="Q15" s="309">
        <f t="shared" si="8"/>
        <v>0</v>
      </c>
      <c r="R15" s="41">
        <f t="shared" si="9"/>
        <v>0</v>
      </c>
      <c r="S15" s="198"/>
      <c r="T15" s="265"/>
      <c r="U15" s="210">
        <f t="shared" si="10"/>
        <v>0</v>
      </c>
      <c r="V15" s="284">
        <f t="shared" si="11"/>
        <v>0</v>
      </c>
      <c r="W15" s="33">
        <f t="shared" si="12"/>
        <v>0</v>
      </c>
      <c r="X15" s="306">
        <f t="shared" si="13"/>
        <v>0</v>
      </c>
      <c r="Y15" s="281">
        <f t="shared" si="13"/>
        <v>0</v>
      </c>
      <c r="Z15" s="250">
        <f t="shared" si="14"/>
        <v>0</v>
      </c>
      <c r="AA15" s="174">
        <f t="shared" si="15"/>
        <v>0</v>
      </c>
      <c r="AB15" s="252"/>
      <c r="AD15" s="252"/>
    </row>
    <row r="16" spans="1:30" ht="9.9499999999999993" hidden="1" customHeight="1" x14ac:dyDescent="0.15">
      <c r="A16" s="303"/>
      <c r="B16" s="134"/>
      <c r="C16" s="284">
        <f t="shared" si="1"/>
        <v>0</v>
      </c>
      <c r="D16" s="41">
        <f t="shared" si="2"/>
        <v>0</v>
      </c>
      <c r="E16" s="274"/>
      <c r="F16" s="301">
        <f t="shared" si="16"/>
        <v>0</v>
      </c>
      <c r="G16" s="258">
        <f t="shared" si="17"/>
        <v>0</v>
      </c>
      <c r="H16" s="246">
        <f t="shared" si="18"/>
        <v>0</v>
      </c>
      <c r="I16" s="315"/>
      <c r="J16" s="305">
        <f t="shared" si="3"/>
        <v>0</v>
      </c>
      <c r="K16" s="281">
        <f t="shared" si="4"/>
        <v>0</v>
      </c>
      <c r="L16" s="198"/>
      <c r="M16" s="196">
        <f t="shared" ref="M16:M85" si="19">T16/1000*-1</f>
        <v>0</v>
      </c>
      <c r="N16" s="33"/>
      <c r="O16" s="405">
        <f t="shared" si="6"/>
        <v>0</v>
      </c>
      <c r="P16" s="406">
        <f t="shared" si="7"/>
        <v>0</v>
      </c>
      <c r="Q16" s="309">
        <f t="shared" si="8"/>
        <v>0</v>
      </c>
      <c r="R16" s="41">
        <f t="shared" si="9"/>
        <v>0</v>
      </c>
      <c r="S16" s="200"/>
      <c r="T16" s="266"/>
      <c r="U16" s="210">
        <f t="shared" si="10"/>
        <v>0</v>
      </c>
      <c r="V16" s="324">
        <f t="shared" si="11"/>
        <v>0</v>
      </c>
      <c r="W16" s="33">
        <f t="shared" si="12"/>
        <v>0</v>
      </c>
      <c r="X16" s="306">
        <f t="shared" si="13"/>
        <v>0</v>
      </c>
      <c r="Y16" s="281">
        <f t="shared" si="13"/>
        <v>0</v>
      </c>
      <c r="Z16" s="250">
        <f t="shared" si="14"/>
        <v>0</v>
      </c>
      <c r="AA16" s="174">
        <f t="shared" si="15"/>
        <v>0</v>
      </c>
      <c r="AB16" s="252"/>
      <c r="AD16" s="252"/>
    </row>
    <row r="17" spans="1:30" ht="9.9499999999999993" hidden="1" customHeight="1" x14ac:dyDescent="0.15">
      <c r="A17" s="144"/>
      <c r="B17" s="134"/>
      <c r="C17" s="284">
        <f t="shared" si="1"/>
        <v>0</v>
      </c>
      <c r="D17" s="41">
        <f t="shared" si="2"/>
        <v>0</v>
      </c>
      <c r="E17" s="274"/>
      <c r="F17" s="301">
        <f t="shared" si="16"/>
        <v>0</v>
      </c>
      <c r="G17" s="258">
        <f t="shared" si="17"/>
        <v>0</v>
      </c>
      <c r="H17" s="246">
        <f t="shared" si="18"/>
        <v>0</v>
      </c>
      <c r="I17" s="315"/>
      <c r="J17" s="305">
        <f t="shared" si="3"/>
        <v>0</v>
      </c>
      <c r="K17" s="281">
        <f t="shared" si="4"/>
        <v>0</v>
      </c>
      <c r="L17" s="198"/>
      <c r="M17" s="196">
        <f t="shared" si="19"/>
        <v>0</v>
      </c>
      <c r="N17" s="33"/>
      <c r="O17" s="405">
        <f t="shared" si="6"/>
        <v>0</v>
      </c>
      <c r="P17" s="406">
        <f t="shared" si="7"/>
        <v>0</v>
      </c>
      <c r="Q17" s="309">
        <f t="shared" si="8"/>
        <v>0</v>
      </c>
      <c r="R17" s="41">
        <f t="shared" si="9"/>
        <v>0</v>
      </c>
      <c r="S17" s="200"/>
      <c r="T17" s="266">
        <v>0</v>
      </c>
      <c r="U17" s="210">
        <f t="shared" si="10"/>
        <v>0</v>
      </c>
      <c r="V17" s="324">
        <f t="shared" si="11"/>
        <v>0</v>
      </c>
      <c r="W17" s="33">
        <f t="shared" si="12"/>
        <v>0</v>
      </c>
      <c r="X17" s="306">
        <f t="shared" si="13"/>
        <v>0</v>
      </c>
      <c r="Y17" s="281">
        <f t="shared" si="13"/>
        <v>0</v>
      </c>
      <c r="Z17" s="250">
        <f t="shared" si="14"/>
        <v>0</v>
      </c>
      <c r="AA17" s="174">
        <f t="shared" si="15"/>
        <v>0</v>
      </c>
      <c r="AB17" s="252"/>
      <c r="AD17" s="252"/>
    </row>
    <row r="18" spans="1:30" ht="9.9499999999999993" hidden="1" customHeight="1" x14ac:dyDescent="0.15">
      <c r="A18" s="144"/>
      <c r="B18" s="134"/>
      <c r="C18" s="284">
        <f t="shared" si="1"/>
        <v>0</v>
      </c>
      <c r="D18" s="41">
        <f t="shared" si="2"/>
        <v>0</v>
      </c>
      <c r="E18" s="274"/>
      <c r="F18" s="301">
        <f t="shared" si="16"/>
        <v>0</v>
      </c>
      <c r="G18" s="258">
        <f t="shared" si="17"/>
        <v>0</v>
      </c>
      <c r="H18" s="246">
        <f t="shared" si="18"/>
        <v>0</v>
      </c>
      <c r="I18" s="315"/>
      <c r="J18" s="305">
        <f t="shared" si="3"/>
        <v>0</v>
      </c>
      <c r="K18" s="281">
        <f t="shared" si="4"/>
        <v>0</v>
      </c>
      <c r="L18" s="198"/>
      <c r="M18" s="196">
        <f t="shared" si="19"/>
        <v>0</v>
      </c>
      <c r="N18" s="33"/>
      <c r="O18" s="405">
        <f t="shared" si="6"/>
        <v>0</v>
      </c>
      <c r="P18" s="406">
        <f t="shared" si="7"/>
        <v>0</v>
      </c>
      <c r="Q18" s="309">
        <f t="shared" si="8"/>
        <v>0</v>
      </c>
      <c r="R18" s="41">
        <f t="shared" si="9"/>
        <v>0</v>
      </c>
      <c r="S18" s="200"/>
      <c r="T18" s="266"/>
      <c r="U18" s="210">
        <f t="shared" si="10"/>
        <v>0</v>
      </c>
      <c r="V18" s="324">
        <f t="shared" si="11"/>
        <v>0</v>
      </c>
      <c r="W18" s="33">
        <f t="shared" si="12"/>
        <v>0</v>
      </c>
      <c r="X18" s="306">
        <f t="shared" si="13"/>
        <v>0</v>
      </c>
      <c r="Y18" s="281">
        <f t="shared" si="13"/>
        <v>0</v>
      </c>
      <c r="Z18" s="250">
        <f t="shared" si="14"/>
        <v>0</v>
      </c>
      <c r="AA18" s="174">
        <f t="shared" si="15"/>
        <v>0</v>
      </c>
      <c r="AB18" s="252"/>
      <c r="AD18" s="252"/>
    </row>
    <row r="19" spans="1:30" ht="9.9499999999999993" hidden="1" customHeight="1" x14ac:dyDescent="0.15">
      <c r="A19" s="144"/>
      <c r="B19" s="134"/>
      <c r="C19" s="284">
        <f t="shared" si="1"/>
        <v>0</v>
      </c>
      <c r="D19" s="41">
        <f t="shared" si="2"/>
        <v>0</v>
      </c>
      <c r="E19" s="273"/>
      <c r="F19" s="301">
        <f t="shared" si="16"/>
        <v>0</v>
      </c>
      <c r="G19" s="258">
        <f t="shared" si="17"/>
        <v>0</v>
      </c>
      <c r="H19" s="246">
        <f t="shared" si="18"/>
        <v>0</v>
      </c>
      <c r="I19" s="315"/>
      <c r="J19" s="305">
        <f t="shared" si="3"/>
        <v>0</v>
      </c>
      <c r="K19" s="281">
        <f t="shared" si="4"/>
        <v>0</v>
      </c>
      <c r="L19" s="198"/>
      <c r="M19" s="196">
        <f t="shared" si="19"/>
        <v>0</v>
      </c>
      <c r="N19" s="33"/>
      <c r="O19" s="405">
        <f t="shared" si="6"/>
        <v>0</v>
      </c>
      <c r="P19" s="406">
        <f t="shared" si="7"/>
        <v>0</v>
      </c>
      <c r="Q19" s="309">
        <f t="shared" si="8"/>
        <v>0</v>
      </c>
      <c r="R19" s="41">
        <f t="shared" si="9"/>
        <v>0</v>
      </c>
      <c r="S19" s="198"/>
      <c r="T19" s="265"/>
      <c r="U19" s="210">
        <f t="shared" si="10"/>
        <v>0</v>
      </c>
      <c r="V19" s="284">
        <f t="shared" si="11"/>
        <v>0</v>
      </c>
      <c r="W19" s="33">
        <f t="shared" si="12"/>
        <v>0</v>
      </c>
      <c r="X19" s="306">
        <f t="shared" si="13"/>
        <v>0</v>
      </c>
      <c r="Y19" s="281">
        <f t="shared" si="13"/>
        <v>0</v>
      </c>
      <c r="Z19" s="250">
        <f t="shared" si="14"/>
        <v>0</v>
      </c>
      <c r="AA19" s="174">
        <f t="shared" si="15"/>
        <v>0</v>
      </c>
      <c r="AB19" s="252"/>
      <c r="AD19" s="252"/>
    </row>
    <row r="20" spans="1:30" ht="9.9499999999999993" hidden="1" customHeight="1" x14ac:dyDescent="0.15">
      <c r="A20" s="144"/>
      <c r="B20" s="134"/>
      <c r="C20" s="284">
        <f t="shared" si="1"/>
        <v>0</v>
      </c>
      <c r="D20" s="41">
        <f t="shared" si="2"/>
        <v>0</v>
      </c>
      <c r="E20" s="273"/>
      <c r="F20" s="301">
        <f t="shared" si="16"/>
        <v>0</v>
      </c>
      <c r="G20" s="258">
        <f t="shared" si="17"/>
        <v>0</v>
      </c>
      <c r="H20" s="246">
        <f t="shared" si="18"/>
        <v>0</v>
      </c>
      <c r="I20" s="315"/>
      <c r="J20" s="305">
        <f t="shared" si="3"/>
        <v>0</v>
      </c>
      <c r="K20" s="281">
        <f t="shared" si="4"/>
        <v>0</v>
      </c>
      <c r="L20" s="198"/>
      <c r="M20" s="196">
        <f t="shared" si="19"/>
        <v>0</v>
      </c>
      <c r="N20" s="33"/>
      <c r="O20" s="405">
        <f t="shared" si="6"/>
        <v>0</v>
      </c>
      <c r="P20" s="406">
        <f t="shared" si="7"/>
        <v>0</v>
      </c>
      <c r="Q20" s="309">
        <f t="shared" si="8"/>
        <v>0</v>
      </c>
      <c r="R20" s="41">
        <f t="shared" si="9"/>
        <v>0</v>
      </c>
      <c r="S20" s="198"/>
      <c r="T20" s="265"/>
      <c r="U20" s="210">
        <f t="shared" si="10"/>
        <v>0</v>
      </c>
      <c r="V20" s="284">
        <f t="shared" si="11"/>
        <v>0</v>
      </c>
      <c r="W20" s="33">
        <f t="shared" si="12"/>
        <v>0</v>
      </c>
      <c r="X20" s="306">
        <f t="shared" si="13"/>
        <v>0</v>
      </c>
      <c r="Y20" s="281">
        <f t="shared" si="13"/>
        <v>0</v>
      </c>
      <c r="Z20" s="250">
        <f t="shared" si="14"/>
        <v>0</v>
      </c>
      <c r="AA20" s="174">
        <f t="shared" si="15"/>
        <v>0</v>
      </c>
      <c r="AB20" s="252"/>
      <c r="AD20" s="252"/>
    </row>
    <row r="21" spans="1:30" ht="9.9499999999999993" hidden="1" customHeight="1" x14ac:dyDescent="0.15">
      <c r="A21" s="144"/>
      <c r="B21" s="134"/>
      <c r="C21" s="284">
        <f t="shared" si="1"/>
        <v>0</v>
      </c>
      <c r="D21" s="41">
        <f t="shared" si="2"/>
        <v>0</v>
      </c>
      <c r="E21" s="273"/>
      <c r="F21" s="301">
        <f t="shared" si="16"/>
        <v>0</v>
      </c>
      <c r="G21" s="258">
        <f t="shared" si="17"/>
        <v>0</v>
      </c>
      <c r="H21" s="246">
        <f t="shared" si="18"/>
        <v>0</v>
      </c>
      <c r="I21" s="315"/>
      <c r="J21" s="305">
        <f t="shared" si="3"/>
        <v>0</v>
      </c>
      <c r="K21" s="281">
        <f t="shared" si="4"/>
        <v>0</v>
      </c>
      <c r="L21" s="198"/>
      <c r="M21" s="196">
        <f t="shared" si="19"/>
        <v>0</v>
      </c>
      <c r="N21" s="33"/>
      <c r="O21" s="405">
        <f t="shared" si="6"/>
        <v>0</v>
      </c>
      <c r="P21" s="406">
        <f t="shared" si="7"/>
        <v>0</v>
      </c>
      <c r="Q21" s="309">
        <f t="shared" si="8"/>
        <v>0</v>
      </c>
      <c r="R21" s="41">
        <f t="shared" si="9"/>
        <v>0</v>
      </c>
      <c r="S21" s="198"/>
      <c r="T21" s="265"/>
      <c r="U21" s="210">
        <f t="shared" si="10"/>
        <v>0</v>
      </c>
      <c r="V21" s="284">
        <f t="shared" si="11"/>
        <v>0</v>
      </c>
      <c r="W21" s="33">
        <f t="shared" si="12"/>
        <v>0</v>
      </c>
      <c r="X21" s="306">
        <f t="shared" si="13"/>
        <v>0</v>
      </c>
      <c r="Y21" s="281">
        <f t="shared" si="13"/>
        <v>0</v>
      </c>
      <c r="Z21" s="250">
        <f t="shared" si="14"/>
        <v>0</v>
      </c>
      <c r="AA21" s="174">
        <f t="shared" si="15"/>
        <v>0</v>
      </c>
      <c r="AB21" s="252"/>
      <c r="AD21" s="252"/>
    </row>
    <row r="22" spans="1:30" ht="9.9499999999999993" hidden="1" customHeight="1" x14ac:dyDescent="0.15">
      <c r="A22" s="144"/>
      <c r="B22" s="134"/>
      <c r="C22" s="284">
        <f t="shared" si="1"/>
        <v>0</v>
      </c>
      <c r="D22" s="41">
        <f t="shared" si="2"/>
        <v>0</v>
      </c>
      <c r="E22" s="273"/>
      <c r="F22" s="301">
        <f t="shared" si="16"/>
        <v>0</v>
      </c>
      <c r="G22" s="258">
        <f t="shared" si="17"/>
        <v>0</v>
      </c>
      <c r="H22" s="246">
        <f t="shared" si="18"/>
        <v>0</v>
      </c>
      <c r="I22" s="315"/>
      <c r="J22" s="305">
        <f t="shared" si="3"/>
        <v>0</v>
      </c>
      <c r="K22" s="281">
        <f t="shared" si="4"/>
        <v>0</v>
      </c>
      <c r="L22" s="198"/>
      <c r="M22" s="196">
        <f t="shared" si="19"/>
        <v>0</v>
      </c>
      <c r="N22" s="33"/>
      <c r="O22" s="405">
        <f t="shared" si="6"/>
        <v>0</v>
      </c>
      <c r="P22" s="406">
        <f t="shared" si="7"/>
        <v>0</v>
      </c>
      <c r="Q22" s="309">
        <f t="shared" si="8"/>
        <v>0</v>
      </c>
      <c r="R22" s="41">
        <f t="shared" si="9"/>
        <v>0</v>
      </c>
      <c r="S22" s="198"/>
      <c r="T22" s="265"/>
      <c r="U22" s="210">
        <f t="shared" si="10"/>
        <v>0</v>
      </c>
      <c r="V22" s="284">
        <f t="shared" si="11"/>
        <v>0</v>
      </c>
      <c r="W22" s="33">
        <f t="shared" si="12"/>
        <v>0</v>
      </c>
      <c r="X22" s="306">
        <f t="shared" si="13"/>
        <v>0</v>
      </c>
      <c r="Y22" s="281">
        <f t="shared" si="13"/>
        <v>0</v>
      </c>
      <c r="Z22" s="250">
        <f t="shared" si="14"/>
        <v>0</v>
      </c>
      <c r="AA22" s="174">
        <f t="shared" si="15"/>
        <v>0</v>
      </c>
      <c r="AB22" s="252"/>
      <c r="AD22" s="252"/>
    </row>
    <row r="23" spans="1:30" ht="9.9499999999999993" hidden="1" customHeight="1" x14ac:dyDescent="0.15">
      <c r="A23" s="144"/>
      <c r="B23" s="134"/>
      <c r="C23" s="284">
        <f t="shared" si="1"/>
        <v>0</v>
      </c>
      <c r="D23" s="41">
        <f t="shared" si="2"/>
        <v>0</v>
      </c>
      <c r="E23" s="273"/>
      <c r="F23" s="301">
        <f t="shared" si="16"/>
        <v>0</v>
      </c>
      <c r="G23" s="258">
        <f t="shared" si="17"/>
        <v>0</v>
      </c>
      <c r="H23" s="246">
        <f t="shared" si="18"/>
        <v>0</v>
      </c>
      <c r="I23" s="315"/>
      <c r="J23" s="305">
        <f t="shared" si="3"/>
        <v>0</v>
      </c>
      <c r="K23" s="281">
        <f t="shared" si="4"/>
        <v>0</v>
      </c>
      <c r="L23" s="198"/>
      <c r="M23" s="196">
        <f t="shared" si="19"/>
        <v>0</v>
      </c>
      <c r="N23" s="33"/>
      <c r="O23" s="405">
        <f t="shared" si="6"/>
        <v>0</v>
      </c>
      <c r="P23" s="406">
        <f t="shared" si="7"/>
        <v>0</v>
      </c>
      <c r="Q23" s="309">
        <f t="shared" si="8"/>
        <v>0</v>
      </c>
      <c r="R23" s="41">
        <f t="shared" si="9"/>
        <v>0</v>
      </c>
      <c r="S23" s="198"/>
      <c r="T23" s="265"/>
      <c r="U23" s="210">
        <f t="shared" si="10"/>
        <v>0</v>
      </c>
      <c r="V23" s="284">
        <f t="shared" si="11"/>
        <v>0</v>
      </c>
      <c r="W23" s="33">
        <f t="shared" si="12"/>
        <v>0</v>
      </c>
      <c r="X23" s="306">
        <f t="shared" si="13"/>
        <v>0</v>
      </c>
      <c r="Y23" s="281">
        <f t="shared" si="13"/>
        <v>0</v>
      </c>
      <c r="Z23" s="250">
        <f t="shared" si="14"/>
        <v>0</v>
      </c>
      <c r="AA23" s="174">
        <f t="shared" si="15"/>
        <v>0</v>
      </c>
      <c r="AB23" s="252"/>
      <c r="AD23" s="252"/>
    </row>
    <row r="24" spans="1:30" ht="9.9499999999999993" hidden="1" customHeight="1" x14ac:dyDescent="0.15">
      <c r="A24" s="144"/>
      <c r="B24" s="134"/>
      <c r="C24" s="284">
        <f t="shared" si="1"/>
        <v>0</v>
      </c>
      <c r="D24" s="41">
        <f t="shared" si="2"/>
        <v>0</v>
      </c>
      <c r="E24" s="273"/>
      <c r="F24" s="301">
        <f t="shared" si="16"/>
        <v>0</v>
      </c>
      <c r="G24" s="258">
        <f t="shared" si="17"/>
        <v>0</v>
      </c>
      <c r="H24" s="246">
        <f t="shared" si="18"/>
        <v>0</v>
      </c>
      <c r="I24" s="315"/>
      <c r="J24" s="305">
        <f t="shared" si="3"/>
        <v>0</v>
      </c>
      <c r="K24" s="281">
        <f t="shared" si="4"/>
        <v>0</v>
      </c>
      <c r="L24" s="198"/>
      <c r="M24" s="196">
        <f t="shared" si="19"/>
        <v>0</v>
      </c>
      <c r="N24" s="33"/>
      <c r="O24" s="405">
        <f t="shared" si="6"/>
        <v>0</v>
      </c>
      <c r="P24" s="406">
        <f t="shared" si="7"/>
        <v>0</v>
      </c>
      <c r="Q24" s="309">
        <f t="shared" si="8"/>
        <v>0</v>
      </c>
      <c r="R24" s="41">
        <f t="shared" si="9"/>
        <v>0</v>
      </c>
      <c r="S24" s="198"/>
      <c r="T24" s="265"/>
      <c r="U24" s="210">
        <f t="shared" si="10"/>
        <v>0</v>
      </c>
      <c r="V24" s="284">
        <f t="shared" si="11"/>
        <v>0</v>
      </c>
      <c r="W24" s="33">
        <f t="shared" si="12"/>
        <v>0</v>
      </c>
      <c r="X24" s="306">
        <f t="shared" si="13"/>
        <v>0</v>
      </c>
      <c r="Y24" s="281">
        <f t="shared" si="13"/>
        <v>0</v>
      </c>
      <c r="Z24" s="250">
        <f t="shared" si="14"/>
        <v>0</v>
      </c>
      <c r="AA24" s="174">
        <f t="shared" si="15"/>
        <v>0</v>
      </c>
      <c r="AB24" s="252"/>
      <c r="AD24" s="252"/>
    </row>
    <row r="25" spans="1:30" ht="9.9499999999999993" hidden="1" customHeight="1" x14ac:dyDescent="0.15">
      <c r="A25" s="144"/>
      <c r="B25" s="134"/>
      <c r="C25" s="284">
        <f t="shared" si="1"/>
        <v>0</v>
      </c>
      <c r="D25" s="41">
        <f t="shared" si="2"/>
        <v>0</v>
      </c>
      <c r="E25" s="273"/>
      <c r="F25" s="301">
        <f t="shared" si="16"/>
        <v>0</v>
      </c>
      <c r="G25" s="258">
        <f t="shared" si="17"/>
        <v>0</v>
      </c>
      <c r="H25" s="246">
        <f t="shared" si="18"/>
        <v>0</v>
      </c>
      <c r="I25" s="315"/>
      <c r="J25" s="305">
        <f t="shared" si="3"/>
        <v>0</v>
      </c>
      <c r="K25" s="281">
        <f t="shared" si="4"/>
        <v>0</v>
      </c>
      <c r="L25" s="198"/>
      <c r="M25" s="196">
        <f t="shared" si="19"/>
        <v>0</v>
      </c>
      <c r="N25" s="33"/>
      <c r="O25" s="405">
        <f t="shared" si="6"/>
        <v>0</v>
      </c>
      <c r="P25" s="406">
        <f t="shared" si="7"/>
        <v>0</v>
      </c>
      <c r="Q25" s="309">
        <f t="shared" si="8"/>
        <v>0</v>
      </c>
      <c r="R25" s="41">
        <f t="shared" si="9"/>
        <v>0</v>
      </c>
      <c r="S25" s="198"/>
      <c r="T25" s="265"/>
      <c r="U25" s="210">
        <f t="shared" si="10"/>
        <v>0</v>
      </c>
      <c r="V25" s="284">
        <f t="shared" si="11"/>
        <v>0</v>
      </c>
      <c r="W25" s="33">
        <f t="shared" si="12"/>
        <v>0</v>
      </c>
      <c r="X25" s="306">
        <f t="shared" si="13"/>
        <v>0</v>
      </c>
      <c r="Y25" s="281">
        <f t="shared" si="13"/>
        <v>0</v>
      </c>
      <c r="Z25" s="250">
        <f t="shared" si="14"/>
        <v>0</v>
      </c>
      <c r="AA25" s="174">
        <f t="shared" si="15"/>
        <v>0</v>
      </c>
      <c r="AB25" s="252"/>
      <c r="AD25" s="252"/>
    </row>
    <row r="26" spans="1:30" ht="9.9499999999999993" hidden="1" customHeight="1" x14ac:dyDescent="0.15">
      <c r="A26" s="144"/>
      <c r="B26" s="134"/>
      <c r="C26" s="284">
        <f t="shared" si="1"/>
        <v>0</v>
      </c>
      <c r="D26" s="41">
        <f t="shared" si="2"/>
        <v>0</v>
      </c>
      <c r="E26" s="273"/>
      <c r="F26" s="301">
        <f t="shared" si="16"/>
        <v>0</v>
      </c>
      <c r="G26" s="258">
        <f t="shared" si="17"/>
        <v>0</v>
      </c>
      <c r="H26" s="246">
        <f t="shared" si="18"/>
        <v>0</v>
      </c>
      <c r="I26" s="315"/>
      <c r="J26" s="305">
        <f t="shared" si="3"/>
        <v>0</v>
      </c>
      <c r="K26" s="281">
        <f t="shared" si="4"/>
        <v>0</v>
      </c>
      <c r="L26" s="198"/>
      <c r="M26" s="196">
        <f t="shared" si="19"/>
        <v>0</v>
      </c>
      <c r="N26" s="33"/>
      <c r="O26" s="405">
        <f t="shared" si="6"/>
        <v>0</v>
      </c>
      <c r="P26" s="406">
        <f t="shared" si="7"/>
        <v>0</v>
      </c>
      <c r="Q26" s="309">
        <f t="shared" si="8"/>
        <v>0</v>
      </c>
      <c r="R26" s="41">
        <f t="shared" si="9"/>
        <v>0</v>
      </c>
      <c r="S26" s="198"/>
      <c r="T26" s="265"/>
      <c r="U26" s="210">
        <f t="shared" si="10"/>
        <v>0</v>
      </c>
      <c r="V26" s="284">
        <f t="shared" si="11"/>
        <v>0</v>
      </c>
      <c r="W26" s="33">
        <f t="shared" si="12"/>
        <v>0</v>
      </c>
      <c r="X26" s="306">
        <f t="shared" si="13"/>
        <v>0</v>
      </c>
      <c r="Y26" s="281">
        <f t="shared" si="13"/>
        <v>0</v>
      </c>
      <c r="Z26" s="250">
        <f t="shared" si="14"/>
        <v>0</v>
      </c>
      <c r="AA26" s="174">
        <f t="shared" si="15"/>
        <v>0</v>
      </c>
      <c r="AB26" s="252"/>
      <c r="AD26" s="252"/>
    </row>
    <row r="27" spans="1:30" ht="9.9499999999999993" hidden="1" customHeight="1" x14ac:dyDescent="0.15">
      <c r="A27" s="144"/>
      <c r="B27" s="134"/>
      <c r="C27" s="284">
        <f t="shared" si="1"/>
        <v>0</v>
      </c>
      <c r="D27" s="41">
        <f t="shared" si="2"/>
        <v>0</v>
      </c>
      <c r="E27" s="273"/>
      <c r="F27" s="301">
        <f t="shared" si="16"/>
        <v>0</v>
      </c>
      <c r="G27" s="258">
        <f t="shared" si="17"/>
        <v>0</v>
      </c>
      <c r="H27" s="246">
        <f t="shared" si="18"/>
        <v>0</v>
      </c>
      <c r="I27" s="315"/>
      <c r="J27" s="305">
        <f t="shared" si="3"/>
        <v>0</v>
      </c>
      <c r="K27" s="281">
        <f t="shared" si="4"/>
        <v>0</v>
      </c>
      <c r="L27" s="198"/>
      <c r="M27" s="196">
        <f t="shared" si="19"/>
        <v>0</v>
      </c>
      <c r="N27" s="33"/>
      <c r="O27" s="405">
        <f t="shared" si="6"/>
        <v>0</v>
      </c>
      <c r="P27" s="406">
        <f t="shared" si="7"/>
        <v>0</v>
      </c>
      <c r="Q27" s="309">
        <f t="shared" si="8"/>
        <v>0</v>
      </c>
      <c r="R27" s="41">
        <f t="shared" si="9"/>
        <v>0</v>
      </c>
      <c r="S27" s="198"/>
      <c r="T27" s="265"/>
      <c r="U27" s="210">
        <f t="shared" si="10"/>
        <v>0</v>
      </c>
      <c r="V27" s="284">
        <f t="shared" si="11"/>
        <v>0</v>
      </c>
      <c r="W27" s="33">
        <f t="shared" si="12"/>
        <v>0</v>
      </c>
      <c r="X27" s="306">
        <f t="shared" si="13"/>
        <v>0</v>
      </c>
      <c r="Y27" s="281">
        <f t="shared" si="13"/>
        <v>0</v>
      </c>
      <c r="Z27" s="250">
        <f t="shared" si="14"/>
        <v>0</v>
      </c>
      <c r="AA27" s="174">
        <f t="shared" si="15"/>
        <v>0</v>
      </c>
      <c r="AB27" s="252"/>
      <c r="AD27" s="252"/>
    </row>
    <row r="28" spans="1:30" ht="9.9499999999999993" hidden="1" customHeight="1" x14ac:dyDescent="0.15">
      <c r="A28" s="144"/>
      <c r="B28" s="134"/>
      <c r="C28" s="284">
        <f t="shared" si="1"/>
        <v>0</v>
      </c>
      <c r="D28" s="41">
        <f t="shared" si="2"/>
        <v>0</v>
      </c>
      <c r="E28" s="273"/>
      <c r="F28" s="301">
        <f t="shared" si="16"/>
        <v>0</v>
      </c>
      <c r="G28" s="258">
        <f t="shared" si="17"/>
        <v>0</v>
      </c>
      <c r="H28" s="246">
        <f t="shared" si="18"/>
        <v>0</v>
      </c>
      <c r="I28" s="315"/>
      <c r="J28" s="305">
        <f t="shared" si="3"/>
        <v>0</v>
      </c>
      <c r="K28" s="281">
        <f t="shared" si="4"/>
        <v>0</v>
      </c>
      <c r="L28" s="198"/>
      <c r="M28" s="196">
        <f t="shared" si="19"/>
        <v>0</v>
      </c>
      <c r="N28" s="33"/>
      <c r="O28" s="405">
        <f t="shared" si="6"/>
        <v>0</v>
      </c>
      <c r="P28" s="406">
        <f t="shared" si="7"/>
        <v>0</v>
      </c>
      <c r="Q28" s="309">
        <f t="shared" si="8"/>
        <v>0</v>
      </c>
      <c r="R28" s="41">
        <f t="shared" si="9"/>
        <v>0</v>
      </c>
      <c r="S28" s="198"/>
      <c r="T28" s="265"/>
      <c r="U28" s="210">
        <f t="shared" si="10"/>
        <v>0</v>
      </c>
      <c r="V28" s="284">
        <f t="shared" si="11"/>
        <v>0</v>
      </c>
      <c r="W28" s="33">
        <f t="shared" si="12"/>
        <v>0</v>
      </c>
      <c r="X28" s="306">
        <f t="shared" si="13"/>
        <v>0</v>
      </c>
      <c r="Y28" s="281">
        <f t="shared" si="13"/>
        <v>0</v>
      </c>
      <c r="Z28" s="250">
        <f t="shared" si="14"/>
        <v>0</v>
      </c>
      <c r="AA28" s="174">
        <f t="shared" si="15"/>
        <v>0</v>
      </c>
      <c r="AB28" s="252"/>
      <c r="AD28" s="252"/>
    </row>
    <row r="29" spans="1:30" ht="9.9499999999999993" hidden="1" customHeight="1" x14ac:dyDescent="0.15">
      <c r="A29" s="144"/>
      <c r="B29" s="125"/>
      <c r="C29" s="284">
        <f t="shared" si="1"/>
        <v>0</v>
      </c>
      <c r="D29" s="41">
        <f t="shared" si="2"/>
        <v>0</v>
      </c>
      <c r="E29" s="273"/>
      <c r="F29" s="301">
        <f t="shared" si="16"/>
        <v>0</v>
      </c>
      <c r="G29" s="258">
        <f t="shared" si="17"/>
        <v>0</v>
      </c>
      <c r="H29" s="246">
        <f t="shared" si="18"/>
        <v>0</v>
      </c>
      <c r="I29" s="315"/>
      <c r="J29" s="305">
        <f t="shared" si="3"/>
        <v>0</v>
      </c>
      <c r="K29" s="281">
        <f t="shared" si="4"/>
        <v>0</v>
      </c>
      <c r="L29" s="198"/>
      <c r="M29" s="195">
        <f t="shared" si="19"/>
        <v>0</v>
      </c>
      <c r="N29" s="33"/>
      <c r="O29" s="405">
        <f t="shared" si="6"/>
        <v>0</v>
      </c>
      <c r="P29" s="406">
        <f t="shared" si="7"/>
        <v>0</v>
      </c>
      <c r="Q29" s="309">
        <f t="shared" si="8"/>
        <v>0</v>
      </c>
      <c r="R29" s="41">
        <f t="shared" si="9"/>
        <v>0</v>
      </c>
      <c r="S29" s="198"/>
      <c r="T29" s="265"/>
      <c r="U29" s="210">
        <f t="shared" si="10"/>
        <v>0</v>
      </c>
      <c r="V29" s="284">
        <f t="shared" si="11"/>
        <v>0</v>
      </c>
      <c r="W29" s="33">
        <f t="shared" si="12"/>
        <v>0</v>
      </c>
      <c r="X29" s="306">
        <f t="shared" si="13"/>
        <v>0</v>
      </c>
      <c r="Y29" s="281">
        <f t="shared" si="13"/>
        <v>0</v>
      </c>
      <c r="Z29" s="250">
        <f t="shared" si="14"/>
        <v>0</v>
      </c>
      <c r="AA29" s="174">
        <f t="shared" si="15"/>
        <v>0</v>
      </c>
      <c r="AB29" s="252"/>
      <c r="AD29" s="252"/>
    </row>
    <row r="30" spans="1:30" ht="9.9499999999999993" customHeight="1" x14ac:dyDescent="0.15">
      <c r="A30" s="152" t="s">
        <v>361</v>
      </c>
      <c r="B30" s="125"/>
      <c r="C30" s="284">
        <f t="shared" si="1"/>
        <v>28.058989999999998</v>
      </c>
      <c r="D30" s="41">
        <f t="shared" si="2"/>
        <v>28058.989999999998</v>
      </c>
      <c r="E30" s="273">
        <f>2358.44+25700.55</f>
        <v>28058.989999999998</v>
      </c>
      <c r="F30" s="301">
        <f t="shared" si="16"/>
        <v>37.5</v>
      </c>
      <c r="G30" s="258">
        <f t="shared" si="17"/>
        <v>18750</v>
      </c>
      <c r="H30" s="246">
        <f>SUM(H31:H32)</f>
        <v>0</v>
      </c>
      <c r="I30" s="315">
        <v>75000</v>
      </c>
      <c r="J30" s="305">
        <f t="shared" si="3"/>
        <v>75</v>
      </c>
      <c r="K30" s="281">
        <f>L30/1000</f>
        <v>75</v>
      </c>
      <c r="L30" s="198">
        <v>75000</v>
      </c>
      <c r="M30" s="195">
        <f t="shared" si="19"/>
        <v>0</v>
      </c>
      <c r="N30" s="33">
        <f>N31+N32+N33+N34</f>
        <v>0</v>
      </c>
      <c r="O30" s="405">
        <f t="shared" si="6"/>
        <v>0</v>
      </c>
      <c r="P30" s="406">
        <f t="shared" si="7"/>
        <v>0</v>
      </c>
      <c r="Q30" s="309">
        <f t="shared" si="8"/>
        <v>0</v>
      </c>
      <c r="R30" s="41">
        <f t="shared" si="9"/>
        <v>0</v>
      </c>
      <c r="S30" s="198">
        <f>SUM(S31:S34)</f>
        <v>0</v>
      </c>
      <c r="T30" s="265"/>
      <c r="U30" s="210">
        <f t="shared" si="10"/>
        <v>0</v>
      </c>
      <c r="V30" s="284">
        <f t="shared" si="11"/>
        <v>28.058989999999998</v>
      </c>
      <c r="W30" s="33">
        <f>F30+O30</f>
        <v>37.5</v>
      </c>
      <c r="X30" s="306">
        <f>J30+Q30</f>
        <v>75</v>
      </c>
      <c r="Y30" s="281">
        <f>K30+R30</f>
        <v>75</v>
      </c>
      <c r="Z30" s="250">
        <f t="shared" si="14"/>
        <v>46.941010000000006</v>
      </c>
      <c r="AA30" s="174">
        <f t="shared" si="15"/>
        <v>0</v>
      </c>
      <c r="AB30" s="252"/>
      <c r="AD30" s="252"/>
    </row>
    <row r="31" spans="1:30" ht="9.9499999999999993" hidden="1" customHeight="1" x14ac:dyDescent="0.15">
      <c r="A31" s="303"/>
      <c r="B31" s="134"/>
      <c r="C31" s="284"/>
      <c r="D31" s="41"/>
      <c r="E31" s="273"/>
      <c r="F31" s="301">
        <f t="shared" si="16"/>
        <v>0</v>
      </c>
      <c r="G31" s="258"/>
      <c r="H31" s="246"/>
      <c r="I31" s="257"/>
      <c r="J31" s="305">
        <f t="shared" si="3"/>
        <v>0</v>
      </c>
      <c r="K31" s="295"/>
      <c r="L31" s="200"/>
      <c r="M31" s="196"/>
      <c r="N31" s="33"/>
      <c r="O31" s="405">
        <f t="shared" si="6"/>
        <v>0</v>
      </c>
      <c r="P31" s="406"/>
      <c r="Q31" s="309">
        <f t="shared" si="8"/>
        <v>0</v>
      </c>
      <c r="R31" s="43"/>
      <c r="S31" s="200"/>
      <c r="T31" s="266"/>
      <c r="U31" s="210"/>
      <c r="V31" s="324"/>
      <c r="W31" s="36"/>
      <c r="X31" s="248"/>
      <c r="Y31" s="295"/>
      <c r="Z31" s="250"/>
      <c r="AA31" s="174"/>
      <c r="AB31" s="252"/>
      <c r="AD31" s="252"/>
    </row>
    <row r="32" spans="1:30" ht="9.9499999999999993" hidden="1" customHeight="1" x14ac:dyDescent="0.15">
      <c r="A32" s="144"/>
      <c r="B32" s="134"/>
      <c r="C32" s="284">
        <f t="shared" si="1"/>
        <v>0</v>
      </c>
      <c r="D32" s="41">
        <f t="shared" si="2"/>
        <v>0</v>
      </c>
      <c r="E32" s="274"/>
      <c r="F32" s="301">
        <f t="shared" si="16"/>
        <v>0</v>
      </c>
      <c r="G32" s="258">
        <f t="shared" si="17"/>
        <v>0</v>
      </c>
      <c r="H32" s="246">
        <f t="shared" si="18"/>
        <v>0</v>
      </c>
      <c r="I32" s="257"/>
      <c r="J32" s="305">
        <f t="shared" si="3"/>
        <v>0</v>
      </c>
      <c r="K32" s="295">
        <f t="shared" ref="K32:K104" si="20">L32/1000</f>
        <v>0</v>
      </c>
      <c r="L32" s="200"/>
      <c r="M32" s="196">
        <f t="shared" si="19"/>
        <v>0</v>
      </c>
      <c r="N32" s="33"/>
      <c r="O32" s="405">
        <f t="shared" si="6"/>
        <v>0</v>
      </c>
      <c r="P32" s="406">
        <f t="shared" si="7"/>
        <v>0</v>
      </c>
      <c r="Q32" s="309">
        <f t="shared" si="8"/>
        <v>0</v>
      </c>
      <c r="R32" s="43">
        <f t="shared" si="9"/>
        <v>0</v>
      </c>
      <c r="S32" s="200"/>
      <c r="T32" s="266"/>
      <c r="U32" s="210">
        <f t="shared" si="10"/>
        <v>0</v>
      </c>
      <c r="V32" s="324">
        <f t="shared" si="11"/>
        <v>0</v>
      </c>
      <c r="W32" s="36">
        <f t="shared" ref="W32:W76" si="21">F32+O32</f>
        <v>0</v>
      </c>
      <c r="X32" s="248">
        <f t="shared" ref="X32:Y47" si="22">J32+Q32</f>
        <v>0</v>
      </c>
      <c r="Y32" s="295">
        <f t="shared" si="22"/>
        <v>0</v>
      </c>
      <c r="Z32" s="250">
        <f t="shared" si="14"/>
        <v>0</v>
      </c>
      <c r="AA32" s="174">
        <f t="shared" si="15"/>
        <v>0</v>
      </c>
      <c r="AB32" s="252"/>
      <c r="AD32" s="252"/>
    </row>
    <row r="33" spans="1:37" ht="9.9499999999999993" hidden="1" customHeight="1" x14ac:dyDescent="0.15">
      <c r="A33" s="144">
        <v>0</v>
      </c>
      <c r="B33" s="134"/>
      <c r="C33" s="284">
        <f t="shared" si="1"/>
        <v>0</v>
      </c>
      <c r="D33" s="41">
        <f t="shared" si="2"/>
        <v>0</v>
      </c>
      <c r="E33" s="274"/>
      <c r="F33" s="301">
        <f t="shared" si="16"/>
        <v>0</v>
      </c>
      <c r="G33" s="258">
        <f t="shared" si="17"/>
        <v>0</v>
      </c>
      <c r="H33" s="246">
        <f t="shared" si="18"/>
        <v>0</v>
      </c>
      <c r="I33" s="257"/>
      <c r="J33" s="305">
        <f t="shared" si="3"/>
        <v>0</v>
      </c>
      <c r="K33" s="295">
        <f t="shared" si="20"/>
        <v>0</v>
      </c>
      <c r="L33" s="200"/>
      <c r="M33" s="196">
        <f t="shared" si="19"/>
        <v>0</v>
      </c>
      <c r="N33" s="36"/>
      <c r="O33" s="405">
        <f t="shared" si="6"/>
        <v>0</v>
      </c>
      <c r="P33" s="406">
        <f t="shared" si="7"/>
        <v>0</v>
      </c>
      <c r="Q33" s="309">
        <f t="shared" si="8"/>
        <v>0</v>
      </c>
      <c r="R33" s="41">
        <f t="shared" si="9"/>
        <v>0</v>
      </c>
      <c r="S33" s="200"/>
      <c r="T33" s="266"/>
      <c r="U33" s="210">
        <f t="shared" si="10"/>
        <v>0</v>
      </c>
      <c r="V33" s="284">
        <f t="shared" si="11"/>
        <v>0</v>
      </c>
      <c r="W33" s="36">
        <f t="shared" si="21"/>
        <v>0</v>
      </c>
      <c r="X33" s="248">
        <f t="shared" si="22"/>
        <v>0</v>
      </c>
      <c r="Y33" s="295">
        <f t="shared" si="22"/>
        <v>0</v>
      </c>
      <c r="Z33" s="250">
        <f t="shared" si="14"/>
        <v>0</v>
      </c>
      <c r="AA33" s="174">
        <f t="shared" si="15"/>
        <v>0</v>
      </c>
      <c r="AB33" s="252"/>
      <c r="AD33" s="252"/>
    </row>
    <row r="34" spans="1:37" ht="9.9499999999999993" hidden="1" customHeight="1" x14ac:dyDescent="0.15">
      <c r="A34" s="144">
        <v>0</v>
      </c>
      <c r="B34" s="134"/>
      <c r="C34" s="284">
        <f t="shared" si="1"/>
        <v>0</v>
      </c>
      <c r="D34" s="41">
        <f t="shared" si="2"/>
        <v>0</v>
      </c>
      <c r="E34" s="274"/>
      <c r="F34" s="301">
        <f t="shared" si="16"/>
        <v>0</v>
      </c>
      <c r="G34" s="258">
        <f t="shared" si="17"/>
        <v>0</v>
      </c>
      <c r="H34" s="246">
        <f t="shared" si="18"/>
        <v>0</v>
      </c>
      <c r="I34" s="257"/>
      <c r="J34" s="305">
        <f t="shared" si="3"/>
        <v>0</v>
      </c>
      <c r="K34" s="295">
        <f t="shared" si="20"/>
        <v>0</v>
      </c>
      <c r="L34" s="200"/>
      <c r="M34" s="196">
        <f t="shared" si="19"/>
        <v>0</v>
      </c>
      <c r="N34" s="36"/>
      <c r="O34" s="405">
        <f t="shared" si="6"/>
        <v>0</v>
      </c>
      <c r="P34" s="406">
        <f t="shared" si="7"/>
        <v>0</v>
      </c>
      <c r="Q34" s="309">
        <f t="shared" si="8"/>
        <v>0</v>
      </c>
      <c r="R34" s="41">
        <f t="shared" si="9"/>
        <v>0</v>
      </c>
      <c r="S34" s="200"/>
      <c r="T34" s="266"/>
      <c r="U34" s="210">
        <f t="shared" si="10"/>
        <v>0</v>
      </c>
      <c r="V34" s="284">
        <f t="shared" si="11"/>
        <v>0</v>
      </c>
      <c r="W34" s="36">
        <f t="shared" si="21"/>
        <v>0</v>
      </c>
      <c r="X34" s="248">
        <f t="shared" si="22"/>
        <v>0</v>
      </c>
      <c r="Y34" s="295">
        <f t="shared" si="22"/>
        <v>0</v>
      </c>
      <c r="Z34" s="250">
        <f t="shared" si="14"/>
        <v>0</v>
      </c>
      <c r="AA34" s="174">
        <f t="shared" si="15"/>
        <v>0</v>
      </c>
      <c r="AB34" s="252"/>
      <c r="AD34" s="252"/>
    </row>
    <row r="35" spans="1:37" ht="9.9499999999999993" customHeight="1" x14ac:dyDescent="0.15">
      <c r="A35" s="152" t="s">
        <v>362</v>
      </c>
      <c r="B35" s="125">
        <v>1</v>
      </c>
      <c r="C35" s="284">
        <f t="shared" si="1"/>
        <v>289.20415094962851</v>
      </c>
      <c r="D35" s="41">
        <f>E35+U35</f>
        <v>289204.1509496285</v>
      </c>
      <c r="E35" s="273">
        <v>648</v>
      </c>
      <c r="F35" s="301">
        <f t="shared" si="16"/>
        <v>290.98750000000001</v>
      </c>
      <c r="G35" s="258">
        <f t="shared" si="17"/>
        <v>145493.75</v>
      </c>
      <c r="H35" s="246">
        <f t="shared" si="18"/>
        <v>571975</v>
      </c>
      <c r="I35" s="198">
        <v>10000</v>
      </c>
      <c r="J35" s="305">
        <f t="shared" si="3"/>
        <v>581.97500000000002</v>
      </c>
      <c r="K35" s="281">
        <f t="shared" si="20"/>
        <v>581.97500000000002</v>
      </c>
      <c r="L35" s="198">
        <v>581975</v>
      </c>
      <c r="M35" s="195">
        <f t="shared" si="19"/>
        <v>0</v>
      </c>
      <c r="N35" s="33"/>
      <c r="O35" s="405">
        <f t="shared" si="6"/>
        <v>0</v>
      </c>
      <c r="P35" s="406">
        <f t="shared" si="7"/>
        <v>0</v>
      </c>
      <c r="Q35" s="309">
        <f t="shared" si="8"/>
        <v>0</v>
      </c>
      <c r="R35" s="41">
        <f t="shared" si="9"/>
        <v>0</v>
      </c>
      <c r="S35" s="198"/>
      <c r="T35" s="265"/>
      <c r="U35" s="210">
        <f t="shared" si="10"/>
        <v>288556.1509496285</v>
      </c>
      <c r="V35" s="284">
        <f t="shared" si="11"/>
        <v>289.20415094962851</v>
      </c>
      <c r="W35" s="33">
        <f t="shared" si="21"/>
        <v>290.98750000000001</v>
      </c>
      <c r="X35" s="306">
        <f t="shared" si="22"/>
        <v>581.97500000000002</v>
      </c>
      <c r="Y35" s="281">
        <f t="shared" si="22"/>
        <v>581.97500000000002</v>
      </c>
      <c r="Z35" s="250">
        <f t="shared" si="14"/>
        <v>292.77084905037151</v>
      </c>
      <c r="AA35" s="174">
        <f t="shared" si="15"/>
        <v>0</v>
      </c>
      <c r="AB35" s="252"/>
      <c r="AD35" s="252"/>
    </row>
    <row r="36" spans="1:37" ht="9.9499999999999993" customHeight="1" x14ac:dyDescent="0.15">
      <c r="A36" s="152" t="s">
        <v>363</v>
      </c>
      <c r="B36" s="125">
        <v>4.2</v>
      </c>
      <c r="C36" s="284">
        <f t="shared" si="1"/>
        <v>1288.1688539884399</v>
      </c>
      <c r="D36" s="41">
        <f t="shared" si="2"/>
        <v>1288168.8539884398</v>
      </c>
      <c r="E36" s="273">
        <f>44493+31740.02</f>
        <v>76233.02</v>
      </c>
      <c r="F36" s="301">
        <f t="shared" si="16"/>
        <v>1298.6475</v>
      </c>
      <c r="G36" s="258">
        <f t="shared" si="17"/>
        <v>649323.75</v>
      </c>
      <c r="H36" s="246">
        <f>L36-I36</f>
        <v>2402295</v>
      </c>
      <c r="I36" s="198">
        <v>195000</v>
      </c>
      <c r="J36" s="305">
        <f t="shared" si="3"/>
        <v>2597.2950000000001</v>
      </c>
      <c r="K36" s="281">
        <f t="shared" si="20"/>
        <v>2597.2950000000001</v>
      </c>
      <c r="L36" s="198">
        <v>2597295</v>
      </c>
      <c r="M36" s="195">
        <f t="shared" si="19"/>
        <v>-15.5</v>
      </c>
      <c r="N36" s="33"/>
      <c r="O36" s="405">
        <f>R36/2</f>
        <v>-30</v>
      </c>
      <c r="P36" s="406">
        <f t="shared" si="7"/>
        <v>45000</v>
      </c>
      <c r="Q36" s="309">
        <f>-45</f>
        <v>-45</v>
      </c>
      <c r="R36" s="41">
        <f t="shared" si="9"/>
        <v>-60</v>
      </c>
      <c r="S36" s="198">
        <v>60000</v>
      </c>
      <c r="T36" s="265">
        <v>15500</v>
      </c>
      <c r="U36" s="210">
        <f t="shared" si="10"/>
        <v>1211935.8339884398</v>
      </c>
      <c r="V36" s="284">
        <f t="shared" si="11"/>
        <v>1272.6688539884399</v>
      </c>
      <c r="W36" s="33">
        <f t="shared" si="21"/>
        <v>1268.6475</v>
      </c>
      <c r="X36" s="306">
        <f t="shared" si="22"/>
        <v>2552.2950000000001</v>
      </c>
      <c r="Y36" s="281">
        <f t="shared" si="22"/>
        <v>2537.2950000000001</v>
      </c>
      <c r="Z36" s="250">
        <f t="shared" si="14"/>
        <v>1309.1261460115602</v>
      </c>
      <c r="AA36" s="174">
        <f t="shared" si="15"/>
        <v>29.5</v>
      </c>
      <c r="AB36" s="252"/>
      <c r="AD36" s="252"/>
    </row>
    <row r="37" spans="1:37" ht="9.9499999999999993" customHeight="1" x14ac:dyDescent="0.15">
      <c r="A37" s="152" t="s">
        <v>364</v>
      </c>
      <c r="B37" s="125">
        <v>0.8</v>
      </c>
      <c r="C37" s="284">
        <f t="shared" si="1"/>
        <v>237.7328107597028</v>
      </c>
      <c r="D37" s="41">
        <f t="shared" si="2"/>
        <v>237732.81075970281</v>
      </c>
      <c r="E37" s="273">
        <v>6887.89</v>
      </c>
      <c r="F37" s="301">
        <f t="shared" si="16"/>
        <v>233.79</v>
      </c>
      <c r="G37" s="258">
        <f t="shared" si="17"/>
        <v>116895</v>
      </c>
      <c r="H37" s="246">
        <f t="shared" si="18"/>
        <v>457580</v>
      </c>
      <c r="I37" s="198">
        <v>10000</v>
      </c>
      <c r="J37" s="305">
        <f t="shared" si="3"/>
        <v>467.58</v>
      </c>
      <c r="K37" s="281">
        <f t="shared" si="20"/>
        <v>467.58</v>
      </c>
      <c r="L37" s="198">
        <v>467580</v>
      </c>
      <c r="M37" s="195">
        <f t="shared" si="19"/>
        <v>0</v>
      </c>
      <c r="N37" s="33"/>
      <c r="O37" s="405">
        <f t="shared" si="6"/>
        <v>0</v>
      </c>
      <c r="P37" s="406">
        <f t="shared" si="7"/>
        <v>0</v>
      </c>
      <c r="Q37" s="309">
        <f t="shared" si="8"/>
        <v>0</v>
      </c>
      <c r="R37" s="41">
        <f t="shared" si="9"/>
        <v>0</v>
      </c>
      <c r="S37" s="198"/>
      <c r="T37" s="265"/>
      <c r="U37" s="210">
        <f t="shared" si="10"/>
        <v>230844.9207597028</v>
      </c>
      <c r="V37" s="284">
        <f t="shared" si="11"/>
        <v>237.7328107597028</v>
      </c>
      <c r="W37" s="33">
        <f t="shared" si="21"/>
        <v>233.79</v>
      </c>
      <c r="X37" s="306">
        <f t="shared" si="22"/>
        <v>467.58</v>
      </c>
      <c r="Y37" s="281">
        <f t="shared" si="22"/>
        <v>467.58</v>
      </c>
      <c r="Z37" s="250">
        <f t="shared" si="14"/>
        <v>229.84718924029718</v>
      </c>
      <c r="AA37" s="174">
        <f t="shared" si="15"/>
        <v>0</v>
      </c>
      <c r="AB37" s="252"/>
      <c r="AD37" s="252"/>
    </row>
    <row r="38" spans="1:37" ht="9.9499999999999993" customHeight="1" x14ac:dyDescent="0.15">
      <c r="A38" s="152" t="s">
        <v>365</v>
      </c>
      <c r="B38" s="125">
        <v>0.1</v>
      </c>
      <c r="C38" s="284">
        <f t="shared" si="1"/>
        <v>29.013915094962851</v>
      </c>
      <c r="D38" s="41">
        <f t="shared" si="2"/>
        <v>29013.915094962849</v>
      </c>
      <c r="E38" s="273">
        <v>158.30000000000001</v>
      </c>
      <c r="F38" s="301">
        <f t="shared" si="16"/>
        <v>33.598500000000001</v>
      </c>
      <c r="G38" s="258">
        <f t="shared" si="17"/>
        <v>16799.25</v>
      </c>
      <c r="H38" s="246">
        <f t="shared" si="18"/>
        <v>57197</v>
      </c>
      <c r="I38" s="198">
        <v>10000</v>
      </c>
      <c r="J38" s="305">
        <f t="shared" si="3"/>
        <v>67.197000000000003</v>
      </c>
      <c r="K38" s="281">
        <f t="shared" si="20"/>
        <v>67.197000000000003</v>
      </c>
      <c r="L38" s="198">
        <v>67197</v>
      </c>
      <c r="M38" s="195">
        <f t="shared" si="19"/>
        <v>0</v>
      </c>
      <c r="N38" s="33"/>
      <c r="O38" s="405">
        <f t="shared" si="6"/>
        <v>0</v>
      </c>
      <c r="P38" s="406">
        <f t="shared" si="7"/>
        <v>0</v>
      </c>
      <c r="Q38" s="309">
        <f t="shared" si="8"/>
        <v>0</v>
      </c>
      <c r="R38" s="41">
        <f t="shared" si="9"/>
        <v>0</v>
      </c>
      <c r="S38" s="198"/>
      <c r="T38" s="265"/>
      <c r="U38" s="210">
        <f t="shared" si="10"/>
        <v>28855.61509496285</v>
      </c>
      <c r="V38" s="284">
        <f t="shared" si="11"/>
        <v>29.013915094962851</v>
      </c>
      <c r="W38" s="33">
        <f t="shared" si="21"/>
        <v>33.598500000000001</v>
      </c>
      <c r="X38" s="306">
        <f t="shared" si="22"/>
        <v>67.197000000000003</v>
      </c>
      <c r="Y38" s="281">
        <f t="shared" si="22"/>
        <v>67.197000000000003</v>
      </c>
      <c r="Z38" s="250">
        <f t="shared" si="14"/>
        <v>38.183084905037148</v>
      </c>
      <c r="AA38" s="174">
        <f t="shared" si="15"/>
        <v>0</v>
      </c>
      <c r="AB38" s="252"/>
      <c r="AD38" s="252"/>
    </row>
    <row r="39" spans="1:37" ht="9.9499999999999993" customHeight="1" x14ac:dyDescent="0.15">
      <c r="A39" s="152" t="s">
        <v>366</v>
      </c>
      <c r="B39" s="125">
        <v>0.2</v>
      </c>
      <c r="C39" s="284">
        <f t="shared" si="1"/>
        <v>69.259900189925702</v>
      </c>
      <c r="D39" s="41">
        <f>E39+U39</f>
        <v>69259.900189925698</v>
      </c>
      <c r="E39" s="273">
        <v>11548.67</v>
      </c>
      <c r="F39" s="301">
        <f t="shared" si="16"/>
        <v>57.197499999999998</v>
      </c>
      <c r="G39" s="258">
        <f t="shared" si="17"/>
        <v>28598.75</v>
      </c>
      <c r="H39" s="246">
        <f t="shared" si="18"/>
        <v>114395</v>
      </c>
      <c r="I39" s="198"/>
      <c r="J39" s="305">
        <f t="shared" si="3"/>
        <v>114.395</v>
      </c>
      <c r="K39" s="281">
        <f t="shared" si="20"/>
        <v>114.395</v>
      </c>
      <c r="L39" s="198">
        <v>114395</v>
      </c>
      <c r="M39" s="195">
        <f t="shared" si="19"/>
        <v>0</v>
      </c>
      <c r="N39" s="33"/>
      <c r="O39" s="405">
        <f t="shared" si="6"/>
        <v>0</v>
      </c>
      <c r="P39" s="406">
        <f t="shared" si="7"/>
        <v>0</v>
      </c>
      <c r="Q39" s="309">
        <f t="shared" si="8"/>
        <v>0</v>
      </c>
      <c r="R39" s="41">
        <f t="shared" si="9"/>
        <v>0</v>
      </c>
      <c r="S39" s="198"/>
      <c r="T39" s="265"/>
      <c r="U39" s="210">
        <f t="shared" si="10"/>
        <v>57711.2301899257</v>
      </c>
      <c r="V39" s="284">
        <f t="shared" si="11"/>
        <v>69.259900189925702</v>
      </c>
      <c r="W39" s="33">
        <f t="shared" si="21"/>
        <v>57.197499999999998</v>
      </c>
      <c r="X39" s="306">
        <f t="shared" si="22"/>
        <v>114.395</v>
      </c>
      <c r="Y39" s="281">
        <f t="shared" si="22"/>
        <v>114.395</v>
      </c>
      <c r="Z39" s="250">
        <f t="shared" si="14"/>
        <v>45.135099810074294</v>
      </c>
      <c r="AA39" s="174">
        <f t="shared" si="15"/>
        <v>0</v>
      </c>
      <c r="AB39" s="252"/>
      <c r="AD39" s="252"/>
      <c r="AE39" s="385"/>
    </row>
    <row r="40" spans="1:37" ht="9.9499999999999993" hidden="1" customHeight="1" x14ac:dyDescent="0.15">
      <c r="A40" s="152"/>
      <c r="B40" s="125">
        <v>0</v>
      </c>
      <c r="C40" s="140">
        <f t="shared" si="1"/>
        <v>0</v>
      </c>
      <c r="D40" s="41">
        <f t="shared" si="2"/>
        <v>0</v>
      </c>
      <c r="E40" s="273"/>
      <c r="F40" s="280">
        <f t="shared" ref="F40:F76" si="23">K40/4*3</f>
        <v>0</v>
      </c>
      <c r="G40" s="258">
        <f t="shared" si="17"/>
        <v>0</v>
      </c>
      <c r="H40" s="246">
        <f t="shared" si="18"/>
        <v>0</v>
      </c>
      <c r="I40" s="198"/>
      <c r="J40" s="305">
        <f t="shared" si="3"/>
        <v>0</v>
      </c>
      <c r="K40" s="41">
        <f t="shared" si="20"/>
        <v>0</v>
      </c>
      <c r="L40" s="198"/>
      <c r="M40" s="195">
        <f t="shared" si="19"/>
        <v>0</v>
      </c>
      <c r="N40" s="33"/>
      <c r="O40" s="404">
        <f t="shared" si="6"/>
        <v>0</v>
      </c>
      <c r="P40" s="406">
        <f t="shared" si="7"/>
        <v>0</v>
      </c>
      <c r="Q40" s="309">
        <f t="shared" si="8"/>
        <v>0</v>
      </c>
      <c r="R40" s="41">
        <f t="shared" si="9"/>
        <v>0</v>
      </c>
      <c r="S40" s="198"/>
      <c r="T40" s="265"/>
      <c r="U40" s="210">
        <f t="shared" si="10"/>
        <v>0</v>
      </c>
      <c r="V40" s="33">
        <f t="shared" si="11"/>
        <v>0</v>
      </c>
      <c r="W40" s="33">
        <f t="shared" si="21"/>
        <v>0</v>
      </c>
      <c r="X40" s="306"/>
      <c r="Y40" s="41">
        <f t="shared" si="22"/>
        <v>0</v>
      </c>
      <c r="Z40" s="250">
        <f t="shared" si="14"/>
        <v>0</v>
      </c>
      <c r="AA40" s="174">
        <f t="shared" si="15"/>
        <v>0</v>
      </c>
      <c r="AB40" s="252"/>
      <c r="AD40" s="252"/>
    </row>
    <row r="41" spans="1:37" s="42" customFormat="1" ht="9.9499999999999993" hidden="1" customHeight="1" x14ac:dyDescent="0.15">
      <c r="A41" s="152"/>
      <c r="B41" s="125">
        <v>0</v>
      </c>
      <c r="C41" s="140">
        <f t="shared" si="1"/>
        <v>0</v>
      </c>
      <c r="D41" s="41">
        <f t="shared" si="2"/>
        <v>0</v>
      </c>
      <c r="E41" s="273"/>
      <c r="F41" s="280">
        <f t="shared" si="23"/>
        <v>0</v>
      </c>
      <c r="G41" s="258">
        <f t="shared" si="17"/>
        <v>0</v>
      </c>
      <c r="H41" s="246">
        <f t="shared" si="18"/>
        <v>0</v>
      </c>
      <c r="I41" s="198"/>
      <c r="J41" s="305">
        <f t="shared" si="3"/>
        <v>0</v>
      </c>
      <c r="K41" s="41">
        <f t="shared" si="20"/>
        <v>0</v>
      </c>
      <c r="L41" s="198"/>
      <c r="M41" s="195">
        <f t="shared" si="19"/>
        <v>0</v>
      </c>
      <c r="N41" s="33"/>
      <c r="O41" s="404">
        <f t="shared" si="6"/>
        <v>0</v>
      </c>
      <c r="P41" s="406">
        <f t="shared" si="7"/>
        <v>0</v>
      </c>
      <c r="Q41" s="309">
        <f t="shared" si="8"/>
        <v>0</v>
      </c>
      <c r="R41" s="41">
        <f t="shared" si="9"/>
        <v>0</v>
      </c>
      <c r="S41" s="198">
        <v>0</v>
      </c>
      <c r="T41" s="265"/>
      <c r="U41" s="210">
        <f t="shared" si="10"/>
        <v>0</v>
      </c>
      <c r="V41" s="33">
        <f t="shared" si="11"/>
        <v>0</v>
      </c>
      <c r="W41" s="33">
        <f t="shared" si="21"/>
        <v>0</v>
      </c>
      <c r="X41" s="306"/>
      <c r="Y41" s="41">
        <f t="shared" si="22"/>
        <v>0</v>
      </c>
      <c r="Z41" s="250">
        <f t="shared" si="14"/>
        <v>0</v>
      </c>
      <c r="AA41" s="174">
        <f t="shared" si="15"/>
        <v>0</v>
      </c>
      <c r="AB41" s="252"/>
      <c r="AD41" s="252"/>
    </row>
    <row r="42" spans="1:37" ht="9" hidden="1" customHeight="1" x14ac:dyDescent="0.15">
      <c r="A42" s="147"/>
      <c r="B42" s="125"/>
      <c r="C42" s="140">
        <f t="shared" si="1"/>
        <v>0</v>
      </c>
      <c r="D42" s="41">
        <f t="shared" si="2"/>
        <v>0</v>
      </c>
      <c r="E42" s="273"/>
      <c r="F42" s="280">
        <f t="shared" si="23"/>
        <v>0</v>
      </c>
      <c r="G42" s="258">
        <f t="shared" si="17"/>
        <v>0</v>
      </c>
      <c r="H42" s="246">
        <f t="shared" si="18"/>
        <v>0</v>
      </c>
      <c r="I42" s="200"/>
      <c r="J42" s="305">
        <f t="shared" si="3"/>
        <v>0</v>
      </c>
      <c r="K42" s="41">
        <f t="shared" si="20"/>
        <v>0</v>
      </c>
      <c r="L42" s="198"/>
      <c r="M42" s="195">
        <f t="shared" si="19"/>
        <v>0</v>
      </c>
      <c r="N42" s="36"/>
      <c r="O42" s="404">
        <f t="shared" si="6"/>
        <v>0</v>
      </c>
      <c r="P42" s="406">
        <f t="shared" si="7"/>
        <v>0</v>
      </c>
      <c r="Q42" s="309">
        <f t="shared" si="8"/>
        <v>0</v>
      </c>
      <c r="R42" s="41">
        <f t="shared" si="9"/>
        <v>0</v>
      </c>
      <c r="S42" s="198"/>
      <c r="T42" s="265"/>
      <c r="U42" s="210">
        <f t="shared" si="10"/>
        <v>0</v>
      </c>
      <c r="V42" s="33">
        <f t="shared" si="11"/>
        <v>0</v>
      </c>
      <c r="W42" s="33">
        <f t="shared" si="21"/>
        <v>0</v>
      </c>
      <c r="X42" s="306"/>
      <c r="Y42" s="41">
        <f t="shared" si="22"/>
        <v>0</v>
      </c>
      <c r="Z42" s="250">
        <f t="shared" si="14"/>
        <v>0</v>
      </c>
      <c r="AA42" s="174">
        <f t="shared" si="15"/>
        <v>0</v>
      </c>
      <c r="AB42" s="252"/>
      <c r="AC42" s="114"/>
      <c r="AD42" s="252"/>
      <c r="AE42" s="114"/>
      <c r="AF42" s="114"/>
      <c r="AG42" s="114"/>
      <c r="AH42" s="114"/>
      <c r="AI42" s="114"/>
      <c r="AJ42" s="114"/>
      <c r="AK42" s="114"/>
    </row>
    <row r="43" spans="1:37" ht="9.75" hidden="1" customHeight="1" x14ac:dyDescent="0.15">
      <c r="A43" s="147"/>
      <c r="B43" s="125">
        <v>0</v>
      </c>
      <c r="C43" s="140">
        <f t="shared" si="1"/>
        <v>0</v>
      </c>
      <c r="D43" s="41">
        <f t="shared" si="2"/>
        <v>0</v>
      </c>
      <c r="E43" s="273"/>
      <c r="F43" s="280">
        <f t="shared" si="23"/>
        <v>0</v>
      </c>
      <c r="G43" s="258">
        <f t="shared" si="17"/>
        <v>0</v>
      </c>
      <c r="H43" s="246">
        <f t="shared" si="18"/>
        <v>0</v>
      </c>
      <c r="I43" s="198"/>
      <c r="J43" s="305">
        <f t="shared" si="3"/>
        <v>0</v>
      </c>
      <c r="K43" s="41">
        <f t="shared" si="20"/>
        <v>0</v>
      </c>
      <c r="L43" s="198"/>
      <c r="M43" s="195">
        <f t="shared" si="19"/>
        <v>0</v>
      </c>
      <c r="N43" s="36"/>
      <c r="O43" s="404">
        <f t="shared" si="6"/>
        <v>0</v>
      </c>
      <c r="P43" s="406">
        <f t="shared" si="7"/>
        <v>0</v>
      </c>
      <c r="Q43" s="309">
        <f t="shared" si="8"/>
        <v>0</v>
      </c>
      <c r="R43" s="41">
        <f t="shared" si="9"/>
        <v>0</v>
      </c>
      <c r="S43" s="198"/>
      <c r="T43" s="265"/>
      <c r="U43" s="210">
        <f t="shared" si="10"/>
        <v>0</v>
      </c>
      <c r="V43" s="33">
        <f t="shared" si="11"/>
        <v>0</v>
      </c>
      <c r="W43" s="33">
        <f t="shared" si="21"/>
        <v>0</v>
      </c>
      <c r="X43" s="306"/>
      <c r="Y43" s="41">
        <f t="shared" si="22"/>
        <v>0</v>
      </c>
      <c r="Z43" s="250">
        <f t="shared" si="14"/>
        <v>0</v>
      </c>
      <c r="AA43" s="174">
        <f t="shared" si="15"/>
        <v>0</v>
      </c>
      <c r="AB43" s="252"/>
      <c r="AC43" s="114"/>
      <c r="AD43" s="252"/>
      <c r="AE43" s="114"/>
      <c r="AF43" s="114"/>
      <c r="AG43" s="114"/>
      <c r="AH43" s="114"/>
      <c r="AI43" s="114"/>
      <c r="AJ43" s="114"/>
      <c r="AK43" s="114"/>
    </row>
    <row r="44" spans="1:37" ht="9" hidden="1" customHeight="1" x14ac:dyDescent="0.15">
      <c r="A44" s="147"/>
      <c r="B44" s="125">
        <v>0</v>
      </c>
      <c r="C44" s="249">
        <f t="shared" si="1"/>
        <v>0</v>
      </c>
      <c r="D44" s="41">
        <f t="shared" si="2"/>
        <v>0</v>
      </c>
      <c r="E44" s="273"/>
      <c r="F44" s="280">
        <f t="shared" si="23"/>
        <v>0</v>
      </c>
      <c r="G44" s="258">
        <f t="shared" si="17"/>
        <v>0</v>
      </c>
      <c r="H44" s="246">
        <f t="shared" si="18"/>
        <v>0</v>
      </c>
      <c r="I44" s="198"/>
      <c r="J44" s="305">
        <f t="shared" si="3"/>
        <v>0</v>
      </c>
      <c r="K44" s="41">
        <f t="shared" si="20"/>
        <v>0</v>
      </c>
      <c r="L44" s="198"/>
      <c r="M44" s="195">
        <f t="shared" si="19"/>
        <v>0</v>
      </c>
      <c r="N44" s="36"/>
      <c r="O44" s="404">
        <f t="shared" si="6"/>
        <v>0</v>
      </c>
      <c r="P44" s="406">
        <f t="shared" si="7"/>
        <v>0</v>
      </c>
      <c r="Q44" s="309">
        <f t="shared" si="8"/>
        <v>0</v>
      </c>
      <c r="R44" s="41">
        <f t="shared" si="9"/>
        <v>0</v>
      </c>
      <c r="S44" s="198"/>
      <c r="T44" s="265"/>
      <c r="U44" s="210">
        <f t="shared" si="10"/>
        <v>0</v>
      </c>
      <c r="V44" s="33">
        <f t="shared" si="11"/>
        <v>0</v>
      </c>
      <c r="W44" s="33">
        <f t="shared" si="21"/>
        <v>0</v>
      </c>
      <c r="X44" s="306">
        <f t="shared" si="22"/>
        <v>0</v>
      </c>
      <c r="Y44" s="41">
        <f t="shared" si="22"/>
        <v>0</v>
      </c>
      <c r="Z44" s="250">
        <f t="shared" si="14"/>
        <v>0</v>
      </c>
      <c r="AA44" s="174">
        <f t="shared" si="15"/>
        <v>0</v>
      </c>
      <c r="AB44" s="252"/>
      <c r="AC44" s="114"/>
      <c r="AD44" s="252"/>
      <c r="AE44" s="114"/>
      <c r="AF44" s="114"/>
      <c r="AG44" s="114"/>
      <c r="AH44" s="114"/>
      <c r="AI44" s="114"/>
      <c r="AJ44" s="114"/>
      <c r="AK44" s="114"/>
    </row>
    <row r="45" spans="1:37" s="317" customFormat="1" x14ac:dyDescent="0.15">
      <c r="A45" s="318" t="s">
        <v>48</v>
      </c>
      <c r="B45" s="392">
        <f>B46+B57+B63+B69+B77+B81+B102+B86+B108+B114+B117</f>
        <v>18.7</v>
      </c>
      <c r="C45" s="320">
        <f t="shared" si="1"/>
        <v>7886.8176427580529</v>
      </c>
      <c r="D45" s="191">
        <f t="shared" si="2"/>
        <v>7886817.6427580528</v>
      </c>
      <c r="E45" s="191">
        <f>E46+E57+E63+E69+E77+E81+E102+E86+E108+E114+E117</f>
        <v>2490817.6199999996</v>
      </c>
      <c r="F45" s="280">
        <f>K45/2</f>
        <v>7742.9665000000005</v>
      </c>
      <c r="G45" s="315">
        <f t="shared" si="17"/>
        <v>3871483.25</v>
      </c>
      <c r="H45" s="294">
        <f t="shared" si="18"/>
        <v>12080933</v>
      </c>
      <c r="I45" s="198">
        <f>I46+I57+I63+I69+I77+I81+I86+I102+I108+I114+I117</f>
        <v>3405000</v>
      </c>
      <c r="J45" s="280">
        <f>J46+J57+J63+J69+J77+J81+J86+J102+J108+J114+J117</f>
        <v>15522.355999999998</v>
      </c>
      <c r="K45" s="191">
        <f t="shared" si="20"/>
        <v>15485.933000000001</v>
      </c>
      <c r="L45" s="191">
        <f>L46+L57+L63+L69+L77+L81+L102+L86+L108+L114+L117</f>
        <v>15485933</v>
      </c>
      <c r="M45" s="191">
        <f t="shared" si="19"/>
        <v>-1169.5857599999999</v>
      </c>
      <c r="N45" s="191">
        <f>N46+N54+N57+N63+N69+N77+N81+N102+N86</f>
        <v>0</v>
      </c>
      <c r="O45" s="404">
        <f>R45/2</f>
        <v>-1230</v>
      </c>
      <c r="P45" s="404">
        <f t="shared" si="7"/>
        <v>1845000</v>
      </c>
      <c r="Q45" s="404">
        <f>Q46+Q57+Q63+Q69+Q77+Q81+Q86+Q102+Q108</f>
        <v>-2566.596</v>
      </c>
      <c r="R45" s="191">
        <f t="shared" si="9"/>
        <v>-2460</v>
      </c>
      <c r="S45" s="191">
        <f>S46+S57+S63+S69+S77+S81+S102+S86+S108+S114+S117</f>
        <v>2460000</v>
      </c>
      <c r="T45" s="201">
        <f>T46+T57+T63+T69+T77+T81+T86+T102+T108+T114+T117</f>
        <v>1169585.76</v>
      </c>
      <c r="U45" s="210">
        <f>U46+U57+U63+U69+U77+U81+U86+U102+U108+U114+U117</f>
        <v>5396000.0227580536</v>
      </c>
      <c r="V45" s="198">
        <f>C45+M45</f>
        <v>6717.231882758053</v>
      </c>
      <c r="W45" s="198">
        <f t="shared" si="21"/>
        <v>6512.9665000000005</v>
      </c>
      <c r="X45" s="191">
        <f>X46+X57+X63+X69+X77+X81+X86+X102+X108+X114+X117</f>
        <v>12955.760000000002</v>
      </c>
      <c r="Y45" s="191">
        <f t="shared" si="22"/>
        <v>13025.933000000001</v>
      </c>
      <c r="Z45" s="250">
        <f t="shared" si="14"/>
        <v>7635.5383572419451</v>
      </c>
      <c r="AA45" s="192">
        <f t="shared" si="15"/>
        <v>1397.0102400000001</v>
      </c>
      <c r="AB45" s="252"/>
      <c r="AC45" s="316"/>
      <c r="AD45" s="252"/>
      <c r="AE45" s="316"/>
      <c r="AF45" s="316"/>
      <c r="AG45" s="316"/>
      <c r="AH45" s="316"/>
      <c r="AI45" s="316"/>
      <c r="AJ45" s="316"/>
      <c r="AK45" s="316"/>
    </row>
    <row r="46" spans="1:37" s="117" customFormat="1" ht="9.9499999999999993" customHeight="1" x14ac:dyDescent="0.15">
      <c r="A46" s="152" t="s">
        <v>367</v>
      </c>
      <c r="B46" s="125">
        <f>SUM(B47:B54)</f>
        <v>4.0999999999999996</v>
      </c>
      <c r="C46" s="140">
        <f>D46/1000</f>
        <v>2041.487428893477</v>
      </c>
      <c r="D46" s="41">
        <f>E46+U46</f>
        <v>2041487.428893477</v>
      </c>
      <c r="E46" s="247">
        <f>SUM(E47:E54)</f>
        <v>858407.21</v>
      </c>
      <c r="F46" s="301">
        <f>K46/2</f>
        <v>1655.0485000000001</v>
      </c>
      <c r="G46" s="258">
        <f t="shared" si="17"/>
        <v>827524.25</v>
      </c>
      <c r="H46" s="246">
        <f t="shared" si="18"/>
        <v>2345097</v>
      </c>
      <c r="I46" s="198">
        <f>SUM(I47:I54)</f>
        <v>965000</v>
      </c>
      <c r="J46" s="305">
        <f>SUM(J47:J48)</f>
        <v>3334.0970000000002</v>
      </c>
      <c r="K46" s="41">
        <f t="shared" si="20"/>
        <v>3310.0970000000002</v>
      </c>
      <c r="L46" s="198">
        <f>SUM(L47:L54)</f>
        <v>3310097</v>
      </c>
      <c r="M46" s="195">
        <f t="shared" si="19"/>
        <v>-942.5</v>
      </c>
      <c r="N46" s="33"/>
      <c r="O46" s="405">
        <f>R46/2</f>
        <v>-687.5</v>
      </c>
      <c r="P46" s="406">
        <f t="shared" si="7"/>
        <v>1031250</v>
      </c>
      <c r="Q46" s="309">
        <f>Q47+Q48</f>
        <v>-1381</v>
      </c>
      <c r="R46" s="41">
        <f t="shared" si="9"/>
        <v>-1375</v>
      </c>
      <c r="S46" s="198">
        <f>SUM(S47:S56)</f>
        <v>1375000</v>
      </c>
      <c r="T46" s="198">
        <f>SUM(T47:T54)</f>
        <v>942500</v>
      </c>
      <c r="U46" s="210">
        <f>SUM(U47:U54)</f>
        <v>1183080.218893477</v>
      </c>
      <c r="V46" s="33">
        <f t="shared" si="11"/>
        <v>1098.987428893477</v>
      </c>
      <c r="W46" s="33">
        <f t="shared" si="21"/>
        <v>967.5485000000001</v>
      </c>
      <c r="X46" s="306">
        <f>SUM(X47:X48)</f>
        <v>1953.0970000000002</v>
      </c>
      <c r="Y46" s="41">
        <f t="shared" si="22"/>
        <v>1935.0970000000002</v>
      </c>
      <c r="Z46" s="250">
        <f t="shared" si="14"/>
        <v>1292.6095711065232</v>
      </c>
      <c r="AA46" s="174">
        <f t="shared" si="15"/>
        <v>438.5</v>
      </c>
      <c r="AB46" s="252"/>
      <c r="AC46" s="116"/>
      <c r="AD46" s="252"/>
      <c r="AE46" s="116"/>
      <c r="AF46" s="116"/>
      <c r="AG46" s="116"/>
      <c r="AH46" s="116"/>
      <c r="AI46" s="116"/>
      <c r="AJ46" s="116"/>
      <c r="AK46" s="116"/>
    </row>
    <row r="47" spans="1:37" s="117" customFormat="1" ht="9.9499999999999993" customHeight="1" x14ac:dyDescent="0.15">
      <c r="A47" s="144" t="s">
        <v>368</v>
      </c>
      <c r="B47" s="134">
        <v>2.7</v>
      </c>
      <c r="C47" s="145">
        <f t="shared" ref="C47:C60" si="24">D47/1000</f>
        <v>972.57660756399707</v>
      </c>
      <c r="D47" s="41">
        <f t="shared" ref="D47:D48" si="25">E47+U47</f>
        <v>972576.60756399704</v>
      </c>
      <c r="E47" s="274">
        <f>113213.62+39795.22+16506.83+23959.33</f>
        <v>193475</v>
      </c>
      <c r="F47" s="304">
        <f>K47/2</f>
        <v>897.16600000000005</v>
      </c>
      <c r="G47" s="334">
        <f t="shared" si="17"/>
        <v>448583</v>
      </c>
      <c r="H47" s="335">
        <f t="shared" si="18"/>
        <v>1544332</v>
      </c>
      <c r="I47" s="200">
        <v>250000</v>
      </c>
      <c r="J47" s="307">
        <f>K47+24</f>
        <v>1818.3320000000001</v>
      </c>
      <c r="K47" s="43">
        <f t="shared" si="20"/>
        <v>1794.3320000000001</v>
      </c>
      <c r="L47" s="200">
        <v>1794332</v>
      </c>
      <c r="M47" s="196">
        <f t="shared" si="19"/>
        <v>-6</v>
      </c>
      <c r="N47" s="36"/>
      <c r="O47" s="407">
        <f t="shared" si="6"/>
        <v>0</v>
      </c>
      <c r="P47" s="406">
        <f t="shared" si="7"/>
        <v>0</v>
      </c>
      <c r="Q47" s="308">
        <v>-6</v>
      </c>
      <c r="R47" s="43">
        <f t="shared" si="9"/>
        <v>0</v>
      </c>
      <c r="S47" s="200"/>
      <c r="T47" s="266">
        <v>6000</v>
      </c>
      <c r="U47" s="227">
        <f t="shared" si="10"/>
        <v>779101.60756399704</v>
      </c>
      <c r="V47" s="36">
        <f t="shared" si="11"/>
        <v>966.57660756399707</v>
      </c>
      <c r="W47" s="36">
        <f t="shared" si="21"/>
        <v>897.16600000000005</v>
      </c>
      <c r="X47" s="248">
        <f t="shared" si="22"/>
        <v>1812.3320000000001</v>
      </c>
      <c r="Y47" s="43">
        <f t="shared" si="22"/>
        <v>1794.3320000000001</v>
      </c>
      <c r="Z47" s="250">
        <f t="shared" si="14"/>
        <v>845.75539243600304</v>
      </c>
      <c r="AA47" s="174">
        <f t="shared" si="15"/>
        <v>0</v>
      </c>
      <c r="AB47" s="252"/>
      <c r="AD47" s="252"/>
    </row>
    <row r="48" spans="1:37" s="117" customFormat="1" ht="9.9499999999999993" customHeight="1" x14ac:dyDescent="0.15">
      <c r="A48" s="144" t="s">
        <v>369</v>
      </c>
      <c r="B48" s="134">
        <v>1.4</v>
      </c>
      <c r="C48" s="145">
        <f t="shared" si="24"/>
        <v>1068.9108213294799</v>
      </c>
      <c r="D48" s="41">
        <f t="shared" si="25"/>
        <v>1068910.8213294798</v>
      </c>
      <c r="E48" s="274">
        <f>605264.58+48886.02+10781.61</f>
        <v>664932.21</v>
      </c>
      <c r="F48" s="304">
        <f>K48/2</f>
        <v>757.88250000000005</v>
      </c>
      <c r="G48" s="334">
        <f t="shared" si="17"/>
        <v>378941.25</v>
      </c>
      <c r="H48" s="335">
        <f t="shared" si="18"/>
        <v>800765</v>
      </c>
      <c r="I48" s="200">
        <v>715000</v>
      </c>
      <c r="J48" s="307">
        <f t="shared" si="3"/>
        <v>1515.7650000000001</v>
      </c>
      <c r="K48" s="43">
        <f t="shared" si="20"/>
        <v>1515.7650000000001</v>
      </c>
      <c r="L48" s="200">
        <v>1515765</v>
      </c>
      <c r="M48" s="196">
        <f t="shared" si="19"/>
        <v>-936.5</v>
      </c>
      <c r="N48" s="36"/>
      <c r="O48" s="407">
        <f>R48/2</f>
        <v>-687.5</v>
      </c>
      <c r="P48" s="406">
        <f t="shared" si="7"/>
        <v>1031250</v>
      </c>
      <c r="Q48" s="308">
        <f t="shared" si="8"/>
        <v>-1375</v>
      </c>
      <c r="R48" s="43">
        <f t="shared" si="9"/>
        <v>-1375</v>
      </c>
      <c r="S48" s="200">
        <v>1375000</v>
      </c>
      <c r="T48" s="266">
        <v>936500</v>
      </c>
      <c r="U48" s="227">
        <f t="shared" si="10"/>
        <v>403978.6113294799</v>
      </c>
      <c r="V48" s="36">
        <f t="shared" si="11"/>
        <v>132.41082132947986</v>
      </c>
      <c r="W48" s="36">
        <f t="shared" si="21"/>
        <v>70.38250000000005</v>
      </c>
      <c r="X48" s="248">
        <f t="shared" ref="X48:Y87" si="26">J48+Q48</f>
        <v>140.7650000000001</v>
      </c>
      <c r="Y48" s="43">
        <f t="shared" si="26"/>
        <v>140.7650000000001</v>
      </c>
      <c r="Z48" s="250">
        <f t="shared" si="14"/>
        <v>446.85417867052024</v>
      </c>
      <c r="AA48" s="174">
        <f t="shared" si="15"/>
        <v>438.5</v>
      </c>
      <c r="AB48" s="252"/>
      <c r="AD48" s="252"/>
      <c r="AE48" s="386"/>
    </row>
    <row r="49" spans="1:31" s="117" customFormat="1" ht="9.9499999999999993" hidden="1" customHeight="1" x14ac:dyDescent="0.15">
      <c r="A49" s="144">
        <v>0</v>
      </c>
      <c r="B49" s="134"/>
      <c r="C49" s="145">
        <f t="shared" si="24"/>
        <v>0</v>
      </c>
      <c r="D49" s="191"/>
      <c r="E49" s="274"/>
      <c r="F49" s="301">
        <f t="shared" si="23"/>
        <v>0</v>
      </c>
      <c r="G49" s="258"/>
      <c r="H49" s="246">
        <f t="shared" si="18"/>
        <v>0</v>
      </c>
      <c r="I49" s="198">
        <f t="shared" ref="I49:I107" si="27">L49</f>
        <v>0</v>
      </c>
      <c r="J49" s="305">
        <f t="shared" si="3"/>
        <v>0</v>
      </c>
      <c r="K49" s="43"/>
      <c r="L49" s="200"/>
      <c r="M49" s="196">
        <f t="shared" si="19"/>
        <v>0</v>
      </c>
      <c r="N49" s="36"/>
      <c r="O49" s="405">
        <f t="shared" si="6"/>
        <v>0</v>
      </c>
      <c r="P49" s="406">
        <f t="shared" si="7"/>
        <v>0</v>
      </c>
      <c r="Q49" s="309">
        <f t="shared" si="8"/>
        <v>0</v>
      </c>
      <c r="R49" s="43">
        <f t="shared" si="9"/>
        <v>0</v>
      </c>
      <c r="S49" s="200"/>
      <c r="T49" s="266"/>
      <c r="U49" s="227">
        <f t="shared" si="10"/>
        <v>0</v>
      </c>
      <c r="V49" s="36">
        <f t="shared" si="11"/>
        <v>0</v>
      </c>
      <c r="W49" s="36">
        <f t="shared" si="21"/>
        <v>0</v>
      </c>
      <c r="X49" s="248">
        <f t="shared" si="26"/>
        <v>0</v>
      </c>
      <c r="Y49" s="43">
        <f t="shared" si="26"/>
        <v>0</v>
      </c>
      <c r="Z49" s="250">
        <f t="shared" si="14"/>
        <v>0</v>
      </c>
      <c r="AA49" s="174">
        <f t="shared" si="15"/>
        <v>0</v>
      </c>
      <c r="AB49" s="252"/>
      <c r="AD49" s="252"/>
    </row>
    <row r="50" spans="1:31" s="117" customFormat="1" ht="9.9499999999999993" hidden="1" customHeight="1" x14ac:dyDescent="0.15">
      <c r="A50" s="144"/>
      <c r="B50" s="134"/>
      <c r="C50" s="145">
        <f t="shared" si="24"/>
        <v>0</v>
      </c>
      <c r="D50" s="191"/>
      <c r="E50" s="274"/>
      <c r="F50" s="301">
        <f t="shared" si="23"/>
        <v>0</v>
      </c>
      <c r="G50" s="258"/>
      <c r="H50" s="246">
        <f t="shared" si="18"/>
        <v>0</v>
      </c>
      <c r="I50" s="198">
        <f t="shared" si="27"/>
        <v>0</v>
      </c>
      <c r="J50" s="305">
        <f t="shared" si="3"/>
        <v>0</v>
      </c>
      <c r="K50" s="43"/>
      <c r="L50" s="200"/>
      <c r="M50" s="196">
        <f t="shared" si="19"/>
        <v>0</v>
      </c>
      <c r="N50" s="36"/>
      <c r="O50" s="405">
        <f t="shared" si="6"/>
        <v>0</v>
      </c>
      <c r="P50" s="406">
        <f t="shared" si="7"/>
        <v>0</v>
      </c>
      <c r="Q50" s="309">
        <f t="shared" si="8"/>
        <v>0</v>
      </c>
      <c r="R50" s="43">
        <f t="shared" si="9"/>
        <v>0</v>
      </c>
      <c r="S50" s="200"/>
      <c r="T50" s="266"/>
      <c r="U50" s="227">
        <f t="shared" si="10"/>
        <v>0</v>
      </c>
      <c r="V50" s="36">
        <f t="shared" si="11"/>
        <v>0</v>
      </c>
      <c r="W50" s="36">
        <f t="shared" si="21"/>
        <v>0</v>
      </c>
      <c r="X50" s="248">
        <f t="shared" si="26"/>
        <v>0</v>
      </c>
      <c r="Y50" s="43">
        <f t="shared" si="26"/>
        <v>0</v>
      </c>
      <c r="Z50" s="250">
        <f t="shared" si="14"/>
        <v>0</v>
      </c>
      <c r="AA50" s="174">
        <f t="shared" si="15"/>
        <v>0</v>
      </c>
      <c r="AB50" s="252"/>
      <c r="AD50" s="252"/>
    </row>
    <row r="51" spans="1:31" s="117" customFormat="1" ht="9.9499999999999993" hidden="1" customHeight="1" x14ac:dyDescent="0.15">
      <c r="A51" s="144"/>
      <c r="B51" s="134"/>
      <c r="C51" s="145">
        <f t="shared" si="24"/>
        <v>0</v>
      </c>
      <c r="D51" s="191"/>
      <c r="E51" s="274"/>
      <c r="F51" s="301">
        <f t="shared" si="23"/>
        <v>0</v>
      </c>
      <c r="G51" s="258"/>
      <c r="H51" s="246">
        <f t="shared" si="18"/>
        <v>0</v>
      </c>
      <c r="I51" s="198">
        <f t="shared" si="27"/>
        <v>0</v>
      </c>
      <c r="J51" s="305">
        <f t="shared" si="3"/>
        <v>0</v>
      </c>
      <c r="K51" s="43"/>
      <c r="L51" s="200"/>
      <c r="M51" s="196">
        <f t="shared" si="19"/>
        <v>0</v>
      </c>
      <c r="N51" s="36"/>
      <c r="O51" s="405">
        <f t="shared" si="6"/>
        <v>0</v>
      </c>
      <c r="P51" s="406">
        <f t="shared" si="7"/>
        <v>0</v>
      </c>
      <c r="Q51" s="309">
        <f t="shared" si="8"/>
        <v>0</v>
      </c>
      <c r="R51" s="43">
        <f t="shared" si="9"/>
        <v>0</v>
      </c>
      <c r="S51" s="200"/>
      <c r="T51" s="266"/>
      <c r="U51" s="210">
        <f t="shared" si="10"/>
        <v>0</v>
      </c>
      <c r="V51" s="36">
        <f t="shared" si="11"/>
        <v>0</v>
      </c>
      <c r="W51" s="36">
        <f t="shared" si="21"/>
        <v>0</v>
      </c>
      <c r="X51" s="248">
        <f t="shared" si="26"/>
        <v>0</v>
      </c>
      <c r="Y51" s="43">
        <f t="shared" si="26"/>
        <v>0</v>
      </c>
      <c r="Z51" s="250">
        <f t="shared" si="14"/>
        <v>0</v>
      </c>
      <c r="AA51" s="174">
        <f t="shared" si="15"/>
        <v>0</v>
      </c>
      <c r="AB51" s="252"/>
      <c r="AD51" s="252"/>
    </row>
    <row r="52" spans="1:31" s="117" customFormat="1" ht="8.25" hidden="1" customHeight="1" x14ac:dyDescent="0.15">
      <c r="A52" s="144">
        <v>0</v>
      </c>
      <c r="B52" s="134"/>
      <c r="C52" s="145">
        <f t="shared" si="24"/>
        <v>0</v>
      </c>
      <c r="D52" s="191">
        <f t="shared" si="2"/>
        <v>0</v>
      </c>
      <c r="E52" s="274"/>
      <c r="F52" s="301">
        <f t="shared" si="23"/>
        <v>0</v>
      </c>
      <c r="G52" s="258">
        <f t="shared" si="17"/>
        <v>0</v>
      </c>
      <c r="H52" s="246">
        <f t="shared" si="18"/>
        <v>0</v>
      </c>
      <c r="I52" s="198">
        <f t="shared" si="27"/>
        <v>0</v>
      </c>
      <c r="J52" s="305">
        <f t="shared" si="3"/>
        <v>0</v>
      </c>
      <c r="K52" s="43">
        <f t="shared" si="20"/>
        <v>0</v>
      </c>
      <c r="L52" s="200"/>
      <c r="M52" s="196">
        <f t="shared" si="19"/>
        <v>0</v>
      </c>
      <c r="N52" s="36"/>
      <c r="O52" s="405">
        <f t="shared" si="6"/>
        <v>0</v>
      </c>
      <c r="P52" s="406">
        <f t="shared" si="7"/>
        <v>0</v>
      </c>
      <c r="Q52" s="309">
        <f t="shared" si="8"/>
        <v>0</v>
      </c>
      <c r="R52" s="43">
        <f t="shared" si="9"/>
        <v>0</v>
      </c>
      <c r="S52" s="200"/>
      <c r="T52" s="266"/>
      <c r="U52" s="210">
        <f t="shared" si="10"/>
        <v>0</v>
      </c>
      <c r="V52" s="36">
        <f t="shared" si="11"/>
        <v>0</v>
      </c>
      <c r="W52" s="36">
        <f t="shared" si="21"/>
        <v>0</v>
      </c>
      <c r="X52" s="248">
        <f t="shared" si="26"/>
        <v>0</v>
      </c>
      <c r="Y52" s="43">
        <f t="shared" si="26"/>
        <v>0</v>
      </c>
      <c r="Z52" s="250">
        <f t="shared" si="14"/>
        <v>0</v>
      </c>
      <c r="AA52" s="174">
        <f t="shared" si="15"/>
        <v>0</v>
      </c>
      <c r="AB52" s="252"/>
      <c r="AD52" s="252"/>
    </row>
    <row r="53" spans="1:31" s="117" customFormat="1" ht="8.25" hidden="1" customHeight="1" x14ac:dyDescent="0.15">
      <c r="A53" s="144">
        <v>0</v>
      </c>
      <c r="B53" s="134"/>
      <c r="C53" s="145">
        <f t="shared" si="24"/>
        <v>0</v>
      </c>
      <c r="D53" s="191">
        <f t="shared" si="2"/>
        <v>0</v>
      </c>
      <c r="E53" s="274"/>
      <c r="F53" s="301">
        <f t="shared" si="23"/>
        <v>0</v>
      </c>
      <c r="G53" s="258">
        <f t="shared" si="17"/>
        <v>0</v>
      </c>
      <c r="H53" s="246">
        <f t="shared" si="18"/>
        <v>0</v>
      </c>
      <c r="I53" s="198">
        <f t="shared" si="27"/>
        <v>0</v>
      </c>
      <c r="J53" s="305">
        <f t="shared" si="3"/>
        <v>0</v>
      </c>
      <c r="K53" s="43"/>
      <c r="L53" s="200"/>
      <c r="M53" s="196"/>
      <c r="N53" s="36"/>
      <c r="O53" s="405">
        <f t="shared" si="6"/>
        <v>0</v>
      </c>
      <c r="P53" s="406">
        <f t="shared" si="7"/>
        <v>0</v>
      </c>
      <c r="Q53" s="309">
        <f t="shared" si="8"/>
        <v>0</v>
      </c>
      <c r="R53" s="43"/>
      <c r="S53" s="200"/>
      <c r="T53" s="266"/>
      <c r="U53" s="210">
        <f t="shared" si="10"/>
        <v>0</v>
      </c>
      <c r="V53" s="36"/>
      <c r="W53" s="36"/>
      <c r="X53" s="248"/>
      <c r="Y53" s="43"/>
      <c r="Z53" s="250">
        <f t="shared" si="14"/>
        <v>0</v>
      </c>
      <c r="AA53" s="174">
        <f t="shared" si="15"/>
        <v>0</v>
      </c>
      <c r="AB53" s="252"/>
      <c r="AD53" s="252"/>
    </row>
    <row r="54" spans="1:31" s="118" customFormat="1" ht="9.9499999999999993" hidden="1" customHeight="1" x14ac:dyDescent="0.15">
      <c r="A54" s="144" t="s">
        <v>353</v>
      </c>
      <c r="B54" s="134">
        <v>0</v>
      </c>
      <c r="C54" s="145">
        <f t="shared" si="24"/>
        <v>0</v>
      </c>
      <c r="D54" s="191">
        <f>E54+U54</f>
        <v>0</v>
      </c>
      <c r="E54" s="274"/>
      <c r="F54" s="301">
        <f t="shared" si="23"/>
        <v>0</v>
      </c>
      <c r="G54" s="258">
        <f t="shared" si="17"/>
        <v>0</v>
      </c>
      <c r="H54" s="246">
        <f t="shared" si="18"/>
        <v>0</v>
      </c>
      <c r="I54" s="198">
        <f t="shared" si="27"/>
        <v>0</v>
      </c>
      <c r="J54" s="305">
        <f t="shared" si="3"/>
        <v>0</v>
      </c>
      <c r="K54" s="43">
        <f t="shared" si="20"/>
        <v>0</v>
      </c>
      <c r="L54" s="200">
        <v>0</v>
      </c>
      <c r="M54" s="196">
        <f t="shared" si="19"/>
        <v>0</v>
      </c>
      <c r="N54" s="33">
        <f>N55+N56</f>
        <v>0</v>
      </c>
      <c r="O54" s="405">
        <f t="shared" si="6"/>
        <v>0</v>
      </c>
      <c r="P54" s="406">
        <f t="shared" si="7"/>
        <v>0</v>
      </c>
      <c r="Q54" s="309">
        <f t="shared" si="8"/>
        <v>0</v>
      </c>
      <c r="R54" s="43">
        <f t="shared" si="9"/>
        <v>0</v>
      </c>
      <c r="S54" s="200"/>
      <c r="T54" s="266"/>
      <c r="U54" s="227">
        <f t="shared" si="10"/>
        <v>0</v>
      </c>
      <c r="V54" s="36">
        <f t="shared" si="11"/>
        <v>0</v>
      </c>
      <c r="W54" s="36">
        <f t="shared" si="21"/>
        <v>0</v>
      </c>
      <c r="X54" s="248">
        <f t="shared" si="26"/>
        <v>0</v>
      </c>
      <c r="Y54" s="43">
        <f t="shared" si="26"/>
        <v>0</v>
      </c>
      <c r="Z54" s="250">
        <f t="shared" si="14"/>
        <v>0</v>
      </c>
      <c r="AA54" s="174">
        <f t="shared" si="15"/>
        <v>0</v>
      </c>
      <c r="AB54" s="252"/>
      <c r="AD54" s="252"/>
    </row>
    <row r="55" spans="1:31" s="117" customFormat="1" ht="9" hidden="1" customHeight="1" x14ac:dyDescent="0.15">
      <c r="A55" s="144"/>
      <c r="B55" s="134"/>
      <c r="C55" s="140">
        <f t="shared" si="24"/>
        <v>0</v>
      </c>
      <c r="D55" s="41">
        <f t="shared" si="2"/>
        <v>0</v>
      </c>
      <c r="E55" s="274"/>
      <c r="F55" s="301">
        <f t="shared" si="23"/>
        <v>0</v>
      </c>
      <c r="G55" s="258">
        <f t="shared" si="17"/>
        <v>0</v>
      </c>
      <c r="H55" s="246">
        <f t="shared" si="18"/>
        <v>0</v>
      </c>
      <c r="I55" s="198">
        <f t="shared" si="27"/>
        <v>0</v>
      </c>
      <c r="J55" s="305">
        <f t="shared" si="3"/>
        <v>0</v>
      </c>
      <c r="K55" s="41">
        <f t="shared" si="20"/>
        <v>0</v>
      </c>
      <c r="L55" s="200"/>
      <c r="M55" s="195">
        <f t="shared" si="19"/>
        <v>0</v>
      </c>
      <c r="N55" s="36"/>
      <c r="O55" s="405">
        <f t="shared" si="6"/>
        <v>0</v>
      </c>
      <c r="P55" s="406">
        <f t="shared" si="7"/>
        <v>0</v>
      </c>
      <c r="Q55" s="309">
        <f t="shared" si="8"/>
        <v>0</v>
      </c>
      <c r="R55" s="43">
        <f t="shared" si="9"/>
        <v>0</v>
      </c>
      <c r="S55" s="200"/>
      <c r="T55" s="266"/>
      <c r="U55" s="210">
        <f t="shared" si="10"/>
        <v>0</v>
      </c>
      <c r="V55" s="36">
        <f t="shared" si="11"/>
        <v>0</v>
      </c>
      <c r="W55" s="36">
        <f t="shared" si="21"/>
        <v>0</v>
      </c>
      <c r="X55" s="248">
        <f t="shared" si="26"/>
        <v>0</v>
      </c>
      <c r="Y55" s="43">
        <f t="shared" si="26"/>
        <v>0</v>
      </c>
      <c r="Z55" s="250">
        <f t="shared" si="14"/>
        <v>0</v>
      </c>
      <c r="AA55" s="174">
        <f t="shared" si="15"/>
        <v>0</v>
      </c>
      <c r="AB55" s="252"/>
      <c r="AD55" s="252"/>
    </row>
    <row r="56" spans="1:31" s="117" customFormat="1" ht="9.9499999999999993" hidden="1" customHeight="1" x14ac:dyDescent="0.15">
      <c r="A56" s="144"/>
      <c r="B56" s="134"/>
      <c r="C56" s="140">
        <f t="shared" si="24"/>
        <v>0</v>
      </c>
      <c r="D56" s="41">
        <f t="shared" si="2"/>
        <v>0</v>
      </c>
      <c r="E56" s="274"/>
      <c r="F56" s="301">
        <f t="shared" si="23"/>
        <v>0</v>
      </c>
      <c r="G56" s="258">
        <f t="shared" si="17"/>
        <v>0</v>
      </c>
      <c r="H56" s="246">
        <f t="shared" si="18"/>
        <v>0</v>
      </c>
      <c r="I56" s="198">
        <f t="shared" si="27"/>
        <v>0</v>
      </c>
      <c r="J56" s="305">
        <f t="shared" si="3"/>
        <v>0</v>
      </c>
      <c r="K56" s="41">
        <f t="shared" si="20"/>
        <v>0</v>
      </c>
      <c r="L56" s="200"/>
      <c r="M56" s="195">
        <f t="shared" si="19"/>
        <v>0</v>
      </c>
      <c r="N56" s="36"/>
      <c r="O56" s="405">
        <f t="shared" si="6"/>
        <v>0</v>
      </c>
      <c r="P56" s="406">
        <f t="shared" si="7"/>
        <v>0</v>
      </c>
      <c r="Q56" s="309">
        <f t="shared" si="8"/>
        <v>0</v>
      </c>
      <c r="R56" s="43">
        <f t="shared" si="9"/>
        <v>0</v>
      </c>
      <c r="S56" s="200"/>
      <c r="T56" s="266"/>
      <c r="U56" s="210">
        <f t="shared" si="10"/>
        <v>0</v>
      </c>
      <c r="V56" s="36">
        <f t="shared" si="11"/>
        <v>0</v>
      </c>
      <c r="W56" s="36">
        <f t="shared" si="21"/>
        <v>0</v>
      </c>
      <c r="X56" s="248">
        <f t="shared" si="26"/>
        <v>0</v>
      </c>
      <c r="Y56" s="43">
        <f t="shared" si="26"/>
        <v>0</v>
      </c>
      <c r="Z56" s="250">
        <f t="shared" si="14"/>
        <v>0</v>
      </c>
      <c r="AA56" s="174">
        <f t="shared" si="15"/>
        <v>0</v>
      </c>
      <c r="AB56" s="252"/>
      <c r="AD56" s="252"/>
    </row>
    <row r="57" spans="1:31" s="118" customFormat="1" ht="9.9499999999999993" customHeight="1" x14ac:dyDescent="0.15">
      <c r="A57" s="152" t="s">
        <v>370</v>
      </c>
      <c r="B57" s="125">
        <f>SUM(B58:B62)</f>
        <v>1.25</v>
      </c>
      <c r="C57" s="140">
        <f t="shared" si="24"/>
        <v>509.35661868703562</v>
      </c>
      <c r="D57" s="41">
        <f t="shared" si="2"/>
        <v>509356.61868703563</v>
      </c>
      <c r="E57" s="247">
        <f>SUM(E58:E61)</f>
        <v>148661.43000000002</v>
      </c>
      <c r="F57" s="301">
        <f>K57/2</f>
        <v>554.98400000000004</v>
      </c>
      <c r="G57" s="258">
        <f t="shared" si="17"/>
        <v>277492</v>
      </c>
      <c r="H57" s="246">
        <f t="shared" si="18"/>
        <v>714968</v>
      </c>
      <c r="I57" s="198">
        <f>SUM(I58:I60)</f>
        <v>395000</v>
      </c>
      <c r="J57" s="305">
        <f>SUM(J58:J59)</f>
        <v>1088.79</v>
      </c>
      <c r="K57" s="41">
        <f t="shared" si="20"/>
        <v>1109.9680000000001</v>
      </c>
      <c r="L57" s="198">
        <f>SUM(L58:L62)</f>
        <v>1109968</v>
      </c>
      <c r="M57" s="195">
        <f>T57/1000*-1</f>
        <v>0</v>
      </c>
      <c r="N57" s="33">
        <f>N60+N58+N61+N62</f>
        <v>0</v>
      </c>
      <c r="O57" s="405">
        <f t="shared" si="6"/>
        <v>0</v>
      </c>
      <c r="P57" s="406">
        <f t="shared" si="7"/>
        <v>0</v>
      </c>
      <c r="Q57" s="309">
        <f t="shared" si="8"/>
        <v>0</v>
      </c>
      <c r="R57" s="41">
        <f t="shared" si="9"/>
        <v>0</v>
      </c>
      <c r="S57" s="198">
        <f>SUM(S58:S62)</f>
        <v>0</v>
      </c>
      <c r="T57" s="198">
        <f>SUM(T58:T62)</f>
        <v>0</v>
      </c>
      <c r="U57" s="210">
        <f>SUM(U58:U61)</f>
        <v>360695.18868703558</v>
      </c>
      <c r="V57" s="33">
        <f t="shared" si="11"/>
        <v>509.35661868703562</v>
      </c>
      <c r="W57" s="33">
        <f>F57+O57</f>
        <v>554.98400000000004</v>
      </c>
      <c r="X57" s="306">
        <f>SUM(X58:X60)</f>
        <v>1088.79</v>
      </c>
      <c r="Y57" s="41">
        <f t="shared" si="26"/>
        <v>1109.9680000000001</v>
      </c>
      <c r="Z57" s="250">
        <f t="shared" si="14"/>
        <v>579.43338131296434</v>
      </c>
      <c r="AA57" s="174">
        <f t="shared" si="15"/>
        <v>0</v>
      </c>
      <c r="AB57" s="252"/>
      <c r="AD57" s="252"/>
    </row>
    <row r="58" spans="1:31" s="117" customFormat="1" ht="9.9499999999999993" customHeight="1" x14ac:dyDescent="0.15">
      <c r="A58" s="144" t="s">
        <v>371</v>
      </c>
      <c r="B58" s="134">
        <v>0.85</v>
      </c>
      <c r="C58" s="290">
        <f t="shared" si="24"/>
        <v>245.8757283071842</v>
      </c>
      <c r="D58" s="195">
        <f t="shared" si="2"/>
        <v>245875.72830718421</v>
      </c>
      <c r="E58" s="274">
        <v>603</v>
      </c>
      <c r="F58" s="304">
        <f>K58/2</f>
        <v>270.589</v>
      </c>
      <c r="G58" s="334">
        <f t="shared" si="17"/>
        <v>135294.5</v>
      </c>
      <c r="H58" s="335">
        <f t="shared" si="18"/>
        <v>486178</v>
      </c>
      <c r="I58" s="200">
        <v>55000</v>
      </c>
      <c r="J58" s="307">
        <v>520</v>
      </c>
      <c r="K58" s="43">
        <f t="shared" si="20"/>
        <v>541.178</v>
      </c>
      <c r="L58" s="200">
        <v>541178</v>
      </c>
      <c r="M58" s="196">
        <f t="shared" ref="M58:M60" si="28">T58/1000*-1</f>
        <v>0</v>
      </c>
      <c r="N58" s="36"/>
      <c r="O58" s="407">
        <f t="shared" si="6"/>
        <v>0</v>
      </c>
      <c r="P58" s="408">
        <f t="shared" si="7"/>
        <v>0</v>
      </c>
      <c r="Q58" s="308">
        <f t="shared" si="8"/>
        <v>0</v>
      </c>
      <c r="R58" s="43">
        <f t="shared" si="9"/>
        <v>0</v>
      </c>
      <c r="S58" s="200"/>
      <c r="T58" s="266"/>
      <c r="U58" s="227">
        <f t="shared" si="10"/>
        <v>245272.72830718421</v>
      </c>
      <c r="V58" s="36">
        <f t="shared" si="11"/>
        <v>245.8757283071842</v>
      </c>
      <c r="W58" s="36">
        <f t="shared" si="21"/>
        <v>270.589</v>
      </c>
      <c r="X58" s="248">
        <f t="shared" si="26"/>
        <v>520</v>
      </c>
      <c r="Y58" s="43">
        <f t="shared" si="26"/>
        <v>541.178</v>
      </c>
      <c r="Z58" s="250">
        <f t="shared" si="14"/>
        <v>274.1242716928158</v>
      </c>
      <c r="AA58" s="174">
        <f t="shared" si="15"/>
        <v>0</v>
      </c>
      <c r="AB58" s="252"/>
      <c r="AD58" s="252"/>
    </row>
    <row r="59" spans="1:31" s="117" customFormat="1" ht="9.9499999999999993" customHeight="1" x14ac:dyDescent="0.15">
      <c r="A59" s="144" t="s">
        <v>372</v>
      </c>
      <c r="B59" s="134">
        <v>0.4</v>
      </c>
      <c r="C59" s="290">
        <f t="shared" si="24"/>
        <v>263.48089037985147</v>
      </c>
      <c r="D59" s="195">
        <f t="shared" si="2"/>
        <v>263480.89037985145</v>
      </c>
      <c r="E59" s="274">
        <f>139951.7+8106.73</f>
        <v>148058.43000000002</v>
      </c>
      <c r="F59" s="304">
        <f>K59/2</f>
        <v>284.39499999999998</v>
      </c>
      <c r="G59" s="334">
        <f t="shared" si="17"/>
        <v>142197.5</v>
      </c>
      <c r="H59" s="335">
        <f t="shared" si="18"/>
        <v>228790</v>
      </c>
      <c r="I59" s="200">
        <v>340000</v>
      </c>
      <c r="J59" s="307">
        <f t="shared" si="3"/>
        <v>568.79</v>
      </c>
      <c r="K59" s="43">
        <f t="shared" si="20"/>
        <v>568.79</v>
      </c>
      <c r="L59" s="200">
        <v>568790</v>
      </c>
      <c r="M59" s="196">
        <f t="shared" si="28"/>
        <v>0</v>
      </c>
      <c r="N59" s="36"/>
      <c r="O59" s="407">
        <f t="shared" si="6"/>
        <v>0</v>
      </c>
      <c r="P59" s="408">
        <f t="shared" si="7"/>
        <v>0</v>
      </c>
      <c r="Q59" s="308">
        <f t="shared" si="8"/>
        <v>0</v>
      </c>
      <c r="R59" s="43">
        <f t="shared" si="9"/>
        <v>0</v>
      </c>
      <c r="S59" s="200"/>
      <c r="T59" s="266"/>
      <c r="U59" s="227">
        <f t="shared" si="10"/>
        <v>115422.4603798514</v>
      </c>
      <c r="V59" s="36">
        <f t="shared" si="11"/>
        <v>263.48089037985147</v>
      </c>
      <c r="W59" s="36">
        <f t="shared" si="21"/>
        <v>284.39499999999998</v>
      </c>
      <c r="X59" s="248">
        <f t="shared" si="26"/>
        <v>568.79</v>
      </c>
      <c r="Y59" s="43">
        <f t="shared" si="26"/>
        <v>568.79</v>
      </c>
      <c r="Z59" s="250">
        <f t="shared" si="14"/>
        <v>305.30910962014849</v>
      </c>
      <c r="AA59" s="174">
        <f t="shared" si="15"/>
        <v>0</v>
      </c>
      <c r="AB59" s="252"/>
      <c r="AD59" s="252"/>
      <c r="AE59" s="386"/>
    </row>
    <row r="60" spans="1:31" s="117" customFormat="1" ht="9.9499999999999993" hidden="1" customHeight="1" x14ac:dyDescent="0.15">
      <c r="A60" s="144"/>
      <c r="B60" s="134"/>
      <c r="C60" s="290">
        <f t="shared" si="24"/>
        <v>0</v>
      </c>
      <c r="D60" s="195">
        <f t="shared" si="2"/>
        <v>0</v>
      </c>
      <c r="E60" s="274"/>
      <c r="F60" s="304">
        <f t="shared" si="23"/>
        <v>0</v>
      </c>
      <c r="G60" s="258">
        <f t="shared" si="17"/>
        <v>0</v>
      </c>
      <c r="H60" s="246">
        <f t="shared" si="18"/>
        <v>0</v>
      </c>
      <c r="I60" s="200"/>
      <c r="J60" s="305">
        <f t="shared" si="3"/>
        <v>0</v>
      </c>
      <c r="K60" s="43">
        <f t="shared" si="20"/>
        <v>0</v>
      </c>
      <c r="L60" s="200"/>
      <c r="M60" s="196">
        <f t="shared" si="28"/>
        <v>0</v>
      </c>
      <c r="N60" s="36"/>
      <c r="O60" s="405">
        <f t="shared" si="6"/>
        <v>0</v>
      </c>
      <c r="P60" s="406">
        <f t="shared" si="7"/>
        <v>0</v>
      </c>
      <c r="Q60" s="309">
        <f t="shared" si="8"/>
        <v>0</v>
      </c>
      <c r="R60" s="43">
        <f t="shared" si="9"/>
        <v>0</v>
      </c>
      <c r="S60" s="200"/>
      <c r="T60" s="266"/>
      <c r="U60" s="227">
        <f t="shared" si="10"/>
        <v>0</v>
      </c>
      <c r="V60" s="36">
        <f t="shared" si="11"/>
        <v>0</v>
      </c>
      <c r="W60" s="36">
        <f t="shared" si="21"/>
        <v>0</v>
      </c>
      <c r="X60" s="248">
        <f t="shared" si="26"/>
        <v>0</v>
      </c>
      <c r="Y60" s="43">
        <f t="shared" si="26"/>
        <v>0</v>
      </c>
      <c r="Z60" s="250">
        <f t="shared" si="14"/>
        <v>0</v>
      </c>
      <c r="AA60" s="174">
        <f t="shared" si="15"/>
        <v>0</v>
      </c>
      <c r="AB60" s="252"/>
      <c r="AD60" s="252"/>
    </row>
    <row r="61" spans="1:31" s="117" customFormat="1" ht="9.9499999999999993" hidden="1" customHeight="1" x14ac:dyDescent="0.15">
      <c r="A61" s="144"/>
      <c r="B61" s="134"/>
      <c r="C61" s="290">
        <f t="shared" si="1"/>
        <v>0</v>
      </c>
      <c r="D61" s="191">
        <f t="shared" si="2"/>
        <v>0</v>
      </c>
      <c r="E61" s="274"/>
      <c r="F61" s="301">
        <f t="shared" si="23"/>
        <v>0</v>
      </c>
      <c r="G61" s="258">
        <f t="shared" si="17"/>
        <v>0</v>
      </c>
      <c r="H61" s="246">
        <f t="shared" si="18"/>
        <v>0</v>
      </c>
      <c r="I61" s="198">
        <f t="shared" si="27"/>
        <v>0</v>
      </c>
      <c r="J61" s="305">
        <f t="shared" si="3"/>
        <v>0</v>
      </c>
      <c r="K61" s="43">
        <f t="shared" si="20"/>
        <v>0</v>
      </c>
      <c r="L61" s="200">
        <v>0</v>
      </c>
      <c r="M61" s="196"/>
      <c r="N61" s="36"/>
      <c r="O61" s="405">
        <f t="shared" si="6"/>
        <v>0</v>
      </c>
      <c r="P61" s="406"/>
      <c r="Q61" s="309">
        <f t="shared" si="8"/>
        <v>0</v>
      </c>
      <c r="R61" s="43"/>
      <c r="S61" s="200"/>
      <c r="T61" s="266"/>
      <c r="U61" s="227">
        <f t="shared" si="10"/>
        <v>0</v>
      </c>
      <c r="V61" s="36">
        <f t="shared" si="11"/>
        <v>0</v>
      </c>
      <c r="W61" s="36">
        <f t="shared" si="21"/>
        <v>0</v>
      </c>
      <c r="X61" s="248"/>
      <c r="Y61" s="43">
        <f t="shared" si="26"/>
        <v>0</v>
      </c>
      <c r="Z61" s="250">
        <f t="shared" si="14"/>
        <v>0</v>
      </c>
      <c r="AA61" s="174">
        <f t="shared" si="15"/>
        <v>0</v>
      </c>
      <c r="AB61" s="252"/>
      <c r="AD61" s="252"/>
    </row>
    <row r="62" spans="1:31" s="117" customFormat="1" ht="9.9499999999999993" hidden="1" customHeight="1" x14ac:dyDescent="0.15">
      <c r="A62" s="144"/>
      <c r="B62" s="134"/>
      <c r="C62" s="145">
        <f t="shared" si="1"/>
        <v>0</v>
      </c>
      <c r="D62" s="41">
        <f t="shared" si="2"/>
        <v>0</v>
      </c>
      <c r="E62" s="274"/>
      <c r="F62" s="301">
        <f t="shared" si="23"/>
        <v>0</v>
      </c>
      <c r="G62" s="258">
        <f t="shared" si="17"/>
        <v>0</v>
      </c>
      <c r="H62" s="246">
        <f t="shared" si="18"/>
        <v>0</v>
      </c>
      <c r="I62" s="198">
        <f t="shared" si="27"/>
        <v>0</v>
      </c>
      <c r="J62" s="305">
        <f t="shared" si="3"/>
        <v>0</v>
      </c>
      <c r="K62" s="41">
        <f t="shared" si="20"/>
        <v>0</v>
      </c>
      <c r="L62" s="200"/>
      <c r="M62" s="195">
        <f t="shared" si="19"/>
        <v>0</v>
      </c>
      <c r="N62" s="36"/>
      <c r="O62" s="405">
        <f t="shared" si="6"/>
        <v>0</v>
      </c>
      <c r="P62" s="406">
        <f t="shared" si="7"/>
        <v>0</v>
      </c>
      <c r="Q62" s="309">
        <f t="shared" si="8"/>
        <v>0</v>
      </c>
      <c r="R62" s="43">
        <f t="shared" si="9"/>
        <v>0</v>
      </c>
      <c r="S62" s="200"/>
      <c r="T62" s="266"/>
      <c r="U62" s="210">
        <f t="shared" si="10"/>
        <v>0</v>
      </c>
      <c r="V62" s="36">
        <f t="shared" si="11"/>
        <v>0</v>
      </c>
      <c r="W62" s="36">
        <f t="shared" si="21"/>
        <v>0</v>
      </c>
      <c r="X62" s="248">
        <f t="shared" si="26"/>
        <v>0</v>
      </c>
      <c r="Y62" s="43">
        <f t="shared" si="26"/>
        <v>0</v>
      </c>
      <c r="Z62" s="250">
        <f t="shared" si="14"/>
        <v>0</v>
      </c>
      <c r="AA62" s="174">
        <f t="shared" si="15"/>
        <v>0</v>
      </c>
      <c r="AB62" s="252"/>
      <c r="AD62" s="252"/>
    </row>
    <row r="63" spans="1:31" s="118" customFormat="1" ht="9.9499999999999993" customHeight="1" x14ac:dyDescent="0.15">
      <c r="A63" s="152" t="s">
        <v>374</v>
      </c>
      <c r="B63" s="125">
        <f>SUM(B64:B68)</f>
        <v>2.4500000000000002</v>
      </c>
      <c r="C63" s="140">
        <f t="shared" si="1"/>
        <v>927.37347982658991</v>
      </c>
      <c r="D63" s="41">
        <f>E63+U63</f>
        <v>927373.47982658993</v>
      </c>
      <c r="E63" s="247">
        <f>SUM(E64:E65)</f>
        <v>220410.91</v>
      </c>
      <c r="F63" s="301">
        <f>K63/2</f>
        <v>808.16949999999997</v>
      </c>
      <c r="G63" s="258">
        <f t="shared" si="17"/>
        <v>404084.75</v>
      </c>
      <c r="H63" s="246">
        <f t="shared" si="18"/>
        <v>1401339</v>
      </c>
      <c r="I63" s="198">
        <f>I64</f>
        <v>215000</v>
      </c>
      <c r="J63" s="305">
        <f>J64</f>
        <v>1716</v>
      </c>
      <c r="K63" s="41">
        <f t="shared" si="20"/>
        <v>1616.3389999999999</v>
      </c>
      <c r="L63" s="198">
        <f>SUM(L64:L68)</f>
        <v>1616339</v>
      </c>
      <c r="M63" s="195">
        <f t="shared" si="19"/>
        <v>-7.3309600000000001</v>
      </c>
      <c r="N63" s="33">
        <f>N64+N65+N66+N67+N68</f>
        <v>0</v>
      </c>
      <c r="O63" s="405">
        <f>R63/2</f>
        <v>0</v>
      </c>
      <c r="P63" s="406">
        <f t="shared" si="7"/>
        <v>0</v>
      </c>
      <c r="Q63" s="309">
        <v>-7</v>
      </c>
      <c r="R63" s="41">
        <f t="shared" si="9"/>
        <v>0</v>
      </c>
      <c r="S63" s="198">
        <f>S65+S66+S67+S68</f>
        <v>0</v>
      </c>
      <c r="T63" s="198">
        <f>T64</f>
        <v>7330.96</v>
      </c>
      <c r="U63" s="210">
        <f>SUM(U64:U65)</f>
        <v>706962.5698265899</v>
      </c>
      <c r="V63" s="33">
        <f t="shared" si="11"/>
        <v>920.04251982658991</v>
      </c>
      <c r="W63" s="33">
        <f t="shared" si="21"/>
        <v>808.16949999999997</v>
      </c>
      <c r="X63" s="306">
        <f>SUM(X64)</f>
        <v>1709</v>
      </c>
      <c r="Y63" s="41">
        <f t="shared" si="26"/>
        <v>1616.3389999999999</v>
      </c>
      <c r="Z63" s="250">
        <f t="shared" si="14"/>
        <v>788.62652017341009</v>
      </c>
      <c r="AA63" s="174">
        <f t="shared" si="15"/>
        <v>-0.33096000000000014</v>
      </c>
      <c r="AB63" s="252"/>
      <c r="AD63" s="252"/>
    </row>
    <row r="64" spans="1:31" s="117" customFormat="1" ht="9.9499999999999993" customHeight="1" x14ac:dyDescent="0.15">
      <c r="A64" s="144" t="s">
        <v>373</v>
      </c>
      <c r="B64" s="134">
        <v>2.4500000000000002</v>
      </c>
      <c r="C64" s="145">
        <f t="shared" si="1"/>
        <v>927.37347982658991</v>
      </c>
      <c r="D64" s="196">
        <f t="shared" si="2"/>
        <v>927373.47982658993</v>
      </c>
      <c r="E64" s="274">
        <v>220410.91</v>
      </c>
      <c r="F64" s="304">
        <f>K64/2</f>
        <v>808.16949999999997</v>
      </c>
      <c r="G64" s="334">
        <f t="shared" si="17"/>
        <v>404084.75</v>
      </c>
      <c r="H64" s="335">
        <f t="shared" si="18"/>
        <v>1401339</v>
      </c>
      <c r="I64" s="200">
        <v>215000</v>
      </c>
      <c r="J64" s="307">
        <v>1716</v>
      </c>
      <c r="K64" s="43">
        <f t="shared" si="20"/>
        <v>1616.3389999999999</v>
      </c>
      <c r="L64" s="200">
        <v>1616339</v>
      </c>
      <c r="M64" s="196">
        <f t="shared" si="19"/>
        <v>-7.3309600000000001</v>
      </c>
      <c r="N64" s="36"/>
      <c r="O64" s="407">
        <f t="shared" si="6"/>
        <v>0</v>
      </c>
      <c r="P64" s="408">
        <f t="shared" si="7"/>
        <v>0</v>
      </c>
      <c r="Q64" s="308">
        <v>-7</v>
      </c>
      <c r="R64" s="43">
        <f t="shared" si="9"/>
        <v>0</v>
      </c>
      <c r="S64" s="200"/>
      <c r="T64" s="266">
        <v>7330.96</v>
      </c>
      <c r="U64" s="227">
        <f t="shared" si="10"/>
        <v>706962.5698265899</v>
      </c>
      <c r="V64" s="36">
        <f t="shared" si="11"/>
        <v>920.04251982658991</v>
      </c>
      <c r="W64" s="36">
        <f t="shared" si="21"/>
        <v>808.16949999999997</v>
      </c>
      <c r="X64" s="248">
        <f t="shared" si="26"/>
        <v>1709</v>
      </c>
      <c r="Y64" s="43">
        <f t="shared" si="26"/>
        <v>1616.3389999999999</v>
      </c>
      <c r="Z64" s="250">
        <f t="shared" si="14"/>
        <v>788.62652017341009</v>
      </c>
      <c r="AA64" s="174">
        <f t="shared" si="15"/>
        <v>-0.33096000000000014</v>
      </c>
      <c r="AB64" s="252"/>
      <c r="AD64" s="252"/>
      <c r="AE64" s="386"/>
    </row>
    <row r="65" spans="1:31" s="117" customFormat="1" ht="9.9499999999999993" hidden="1" customHeight="1" x14ac:dyDescent="0.15">
      <c r="A65" s="144"/>
      <c r="B65" s="134"/>
      <c r="C65" s="145">
        <f t="shared" si="1"/>
        <v>0</v>
      </c>
      <c r="D65" s="195">
        <f t="shared" si="2"/>
        <v>0</v>
      </c>
      <c r="E65" s="274"/>
      <c r="F65" s="301">
        <f t="shared" si="23"/>
        <v>0</v>
      </c>
      <c r="G65" s="258">
        <f t="shared" si="17"/>
        <v>0</v>
      </c>
      <c r="H65" s="246">
        <f t="shared" si="18"/>
        <v>0</v>
      </c>
      <c r="I65" s="198">
        <f t="shared" si="27"/>
        <v>0</v>
      </c>
      <c r="J65" s="305">
        <f t="shared" si="3"/>
        <v>0</v>
      </c>
      <c r="K65" s="43">
        <f t="shared" si="20"/>
        <v>0</v>
      </c>
      <c r="L65" s="200"/>
      <c r="M65" s="196">
        <f t="shared" si="19"/>
        <v>0</v>
      </c>
      <c r="N65" s="36"/>
      <c r="O65" s="405">
        <f t="shared" si="6"/>
        <v>0</v>
      </c>
      <c r="P65" s="406">
        <f t="shared" si="7"/>
        <v>0</v>
      </c>
      <c r="Q65" s="309">
        <f t="shared" si="8"/>
        <v>0</v>
      </c>
      <c r="R65" s="43">
        <f t="shared" si="9"/>
        <v>0</v>
      </c>
      <c r="S65" s="200"/>
      <c r="T65" s="266"/>
      <c r="U65" s="227">
        <f t="shared" si="10"/>
        <v>0</v>
      </c>
      <c r="V65" s="36">
        <f t="shared" si="11"/>
        <v>0</v>
      </c>
      <c r="W65" s="36">
        <f t="shared" si="21"/>
        <v>0</v>
      </c>
      <c r="X65" s="248">
        <f t="shared" si="26"/>
        <v>0</v>
      </c>
      <c r="Y65" s="43">
        <f t="shared" si="26"/>
        <v>0</v>
      </c>
      <c r="Z65" s="250">
        <f t="shared" si="14"/>
        <v>0</v>
      </c>
      <c r="AA65" s="174">
        <f t="shared" si="15"/>
        <v>0</v>
      </c>
      <c r="AB65" s="252"/>
      <c r="AD65" s="252"/>
    </row>
    <row r="66" spans="1:31" s="117" customFormat="1" ht="9.9499999999999993" hidden="1" customHeight="1" x14ac:dyDescent="0.15">
      <c r="A66" s="144"/>
      <c r="B66" s="134"/>
      <c r="C66" s="145">
        <f t="shared" si="1"/>
        <v>0</v>
      </c>
      <c r="D66" s="195">
        <f t="shared" si="2"/>
        <v>0</v>
      </c>
      <c r="E66" s="274"/>
      <c r="F66" s="301">
        <f t="shared" si="23"/>
        <v>0</v>
      </c>
      <c r="G66" s="258">
        <f t="shared" si="17"/>
        <v>0</v>
      </c>
      <c r="H66" s="246">
        <f t="shared" si="18"/>
        <v>0</v>
      </c>
      <c r="I66" s="198">
        <f t="shared" si="27"/>
        <v>0</v>
      </c>
      <c r="J66" s="305">
        <f t="shared" si="3"/>
        <v>0</v>
      </c>
      <c r="K66" s="43"/>
      <c r="L66" s="200"/>
      <c r="M66" s="196">
        <f t="shared" si="19"/>
        <v>0</v>
      </c>
      <c r="N66" s="36"/>
      <c r="O66" s="405">
        <f t="shared" si="6"/>
        <v>0</v>
      </c>
      <c r="P66" s="406">
        <f t="shared" si="7"/>
        <v>0</v>
      </c>
      <c r="Q66" s="309">
        <f t="shared" si="8"/>
        <v>0</v>
      </c>
      <c r="R66" s="43">
        <f t="shared" si="9"/>
        <v>0</v>
      </c>
      <c r="S66" s="200"/>
      <c r="T66" s="266"/>
      <c r="U66" s="210">
        <f t="shared" si="10"/>
        <v>0</v>
      </c>
      <c r="V66" s="36">
        <f t="shared" si="11"/>
        <v>0</v>
      </c>
      <c r="W66" s="36">
        <f t="shared" si="21"/>
        <v>0</v>
      </c>
      <c r="X66" s="248">
        <f t="shared" si="26"/>
        <v>0</v>
      </c>
      <c r="Y66" s="43">
        <f t="shared" si="26"/>
        <v>0</v>
      </c>
      <c r="Z66" s="250">
        <f t="shared" si="14"/>
        <v>0</v>
      </c>
      <c r="AA66" s="174">
        <f t="shared" si="15"/>
        <v>0</v>
      </c>
      <c r="AB66" s="252"/>
      <c r="AD66" s="252"/>
    </row>
    <row r="67" spans="1:31" s="117" customFormat="1" ht="9.9499999999999993" hidden="1" customHeight="1" x14ac:dyDescent="0.15">
      <c r="A67" s="144"/>
      <c r="B67" s="125"/>
      <c r="C67" s="145">
        <f t="shared" si="1"/>
        <v>0</v>
      </c>
      <c r="D67" s="195">
        <f t="shared" si="2"/>
        <v>0</v>
      </c>
      <c r="E67" s="274"/>
      <c r="F67" s="301">
        <f t="shared" si="23"/>
        <v>0</v>
      </c>
      <c r="G67" s="258">
        <f t="shared" si="17"/>
        <v>0</v>
      </c>
      <c r="H67" s="246">
        <f t="shared" si="18"/>
        <v>0</v>
      </c>
      <c r="I67" s="198">
        <f t="shared" si="27"/>
        <v>0</v>
      </c>
      <c r="J67" s="305">
        <f t="shared" si="3"/>
        <v>0</v>
      </c>
      <c r="K67" s="41">
        <f t="shared" si="20"/>
        <v>0</v>
      </c>
      <c r="L67" s="200"/>
      <c r="M67" s="195">
        <f t="shared" si="19"/>
        <v>0</v>
      </c>
      <c r="N67" s="36"/>
      <c r="O67" s="405">
        <f t="shared" si="6"/>
        <v>0</v>
      </c>
      <c r="P67" s="406">
        <f t="shared" si="7"/>
        <v>0</v>
      </c>
      <c r="Q67" s="309">
        <f t="shared" si="8"/>
        <v>0</v>
      </c>
      <c r="R67" s="43">
        <f t="shared" si="9"/>
        <v>0</v>
      </c>
      <c r="S67" s="200"/>
      <c r="T67" s="266"/>
      <c r="U67" s="210">
        <f t="shared" si="10"/>
        <v>0</v>
      </c>
      <c r="V67" s="36">
        <f t="shared" si="11"/>
        <v>0</v>
      </c>
      <c r="W67" s="36">
        <f t="shared" si="21"/>
        <v>0</v>
      </c>
      <c r="X67" s="248">
        <f t="shared" si="26"/>
        <v>0</v>
      </c>
      <c r="Y67" s="43">
        <f t="shared" si="26"/>
        <v>0</v>
      </c>
      <c r="Z67" s="250">
        <f t="shared" si="14"/>
        <v>0</v>
      </c>
      <c r="AA67" s="174">
        <f t="shared" si="15"/>
        <v>0</v>
      </c>
      <c r="AB67" s="252"/>
      <c r="AD67" s="252"/>
    </row>
    <row r="68" spans="1:31" s="117" customFormat="1" ht="9.9499999999999993" hidden="1" customHeight="1" x14ac:dyDescent="0.15">
      <c r="A68" s="144"/>
      <c r="B68" s="125"/>
      <c r="C68" s="145">
        <f t="shared" si="1"/>
        <v>0</v>
      </c>
      <c r="D68" s="195">
        <f t="shared" si="2"/>
        <v>0</v>
      </c>
      <c r="E68" s="274"/>
      <c r="F68" s="301">
        <f t="shared" si="23"/>
        <v>0</v>
      </c>
      <c r="G68" s="258">
        <f t="shared" si="17"/>
        <v>0</v>
      </c>
      <c r="H68" s="246">
        <f t="shared" si="18"/>
        <v>0</v>
      </c>
      <c r="I68" s="198">
        <f t="shared" si="27"/>
        <v>0</v>
      </c>
      <c r="J68" s="305">
        <f t="shared" si="3"/>
        <v>0</v>
      </c>
      <c r="K68" s="41">
        <f t="shared" si="20"/>
        <v>0</v>
      </c>
      <c r="L68" s="200"/>
      <c r="M68" s="195">
        <f t="shared" si="19"/>
        <v>0</v>
      </c>
      <c r="N68" s="36"/>
      <c r="O68" s="405">
        <f t="shared" si="6"/>
        <v>0</v>
      </c>
      <c r="P68" s="406">
        <f t="shared" si="7"/>
        <v>0</v>
      </c>
      <c r="Q68" s="309">
        <f t="shared" si="8"/>
        <v>0</v>
      </c>
      <c r="R68" s="43">
        <f t="shared" si="9"/>
        <v>0</v>
      </c>
      <c r="S68" s="200"/>
      <c r="T68" s="266"/>
      <c r="U68" s="210">
        <f t="shared" si="10"/>
        <v>0</v>
      </c>
      <c r="V68" s="36">
        <f t="shared" si="11"/>
        <v>0</v>
      </c>
      <c r="W68" s="36">
        <f t="shared" si="21"/>
        <v>0</v>
      </c>
      <c r="X68" s="248">
        <f t="shared" si="26"/>
        <v>0</v>
      </c>
      <c r="Y68" s="43">
        <f t="shared" si="26"/>
        <v>0</v>
      </c>
      <c r="Z68" s="250">
        <f t="shared" si="14"/>
        <v>0</v>
      </c>
      <c r="AA68" s="174">
        <f t="shared" si="15"/>
        <v>0</v>
      </c>
      <c r="AB68" s="252"/>
      <c r="AD68" s="252"/>
    </row>
    <row r="69" spans="1:31" s="118" customFormat="1" ht="9.9499999999999993" customHeight="1" x14ac:dyDescent="0.15">
      <c r="A69" s="152" t="s">
        <v>375</v>
      </c>
      <c r="B69" s="125">
        <f>SUM(B70:B76)</f>
        <v>1.1000000000000001</v>
      </c>
      <c r="C69" s="140">
        <f t="shared" si="1"/>
        <v>349.54895604459136</v>
      </c>
      <c r="D69" s="195">
        <f t="shared" si="2"/>
        <v>349548.95604459138</v>
      </c>
      <c r="E69" s="247">
        <f>SUM(E70:E71)</f>
        <v>32137.190000000002</v>
      </c>
      <c r="F69" s="301">
        <f>K69/2</f>
        <v>349.5865</v>
      </c>
      <c r="G69" s="258">
        <f t="shared" si="17"/>
        <v>174793.25</v>
      </c>
      <c r="H69" s="246">
        <f t="shared" si="18"/>
        <v>629173</v>
      </c>
      <c r="I69" s="198">
        <f>I70</f>
        <v>70000</v>
      </c>
      <c r="J69" s="305">
        <f t="shared" si="3"/>
        <v>699.173</v>
      </c>
      <c r="K69" s="41">
        <f t="shared" si="20"/>
        <v>699.173</v>
      </c>
      <c r="L69" s="198">
        <f>SUM(L70:L76)</f>
        <v>699173</v>
      </c>
      <c r="M69" s="195">
        <f t="shared" si="19"/>
        <v>0</v>
      </c>
      <c r="N69" s="33">
        <f>N70+N71+N76</f>
        <v>0</v>
      </c>
      <c r="O69" s="405">
        <f t="shared" si="6"/>
        <v>0</v>
      </c>
      <c r="P69" s="406">
        <f t="shared" si="7"/>
        <v>0</v>
      </c>
      <c r="Q69" s="309">
        <f t="shared" si="8"/>
        <v>0</v>
      </c>
      <c r="R69" s="41">
        <f t="shared" si="9"/>
        <v>0</v>
      </c>
      <c r="S69" s="198">
        <f>SUM(S70:S76)</f>
        <v>0</v>
      </c>
      <c r="T69" s="198">
        <f>SUM(T70:T76)</f>
        <v>0</v>
      </c>
      <c r="U69" s="210">
        <f>SUM(U70:U71)</f>
        <v>317411.76604459138</v>
      </c>
      <c r="V69" s="33">
        <f t="shared" si="11"/>
        <v>349.54895604459136</v>
      </c>
      <c r="W69" s="33">
        <f t="shared" si="21"/>
        <v>349.5865</v>
      </c>
      <c r="X69" s="306">
        <f>SUM(X70)</f>
        <v>699.173</v>
      </c>
      <c r="Y69" s="41">
        <f t="shared" si="26"/>
        <v>699.173</v>
      </c>
      <c r="Z69" s="250">
        <f t="shared" si="14"/>
        <v>349.62404395540864</v>
      </c>
      <c r="AA69" s="174">
        <f t="shared" si="15"/>
        <v>0</v>
      </c>
      <c r="AB69" s="252"/>
      <c r="AD69" s="252"/>
    </row>
    <row r="70" spans="1:31" s="117" customFormat="1" ht="9.9499999999999993" customHeight="1" x14ac:dyDescent="0.15">
      <c r="A70" s="144" t="s">
        <v>376</v>
      </c>
      <c r="B70" s="134">
        <v>1.1000000000000001</v>
      </c>
      <c r="C70" s="145">
        <f t="shared" si="1"/>
        <v>349.54895604459136</v>
      </c>
      <c r="D70" s="196">
        <f t="shared" si="2"/>
        <v>349548.95604459138</v>
      </c>
      <c r="E70" s="274">
        <f>5541.7+26595.49</f>
        <v>32137.190000000002</v>
      </c>
      <c r="F70" s="304">
        <f>K70/2</f>
        <v>349.5865</v>
      </c>
      <c r="G70" s="334">
        <f t="shared" si="17"/>
        <v>174793.25</v>
      </c>
      <c r="H70" s="335">
        <f t="shared" si="18"/>
        <v>629173</v>
      </c>
      <c r="I70" s="200">
        <v>70000</v>
      </c>
      <c r="J70" s="307">
        <f t="shared" si="3"/>
        <v>699.173</v>
      </c>
      <c r="K70" s="43">
        <f t="shared" si="20"/>
        <v>699.173</v>
      </c>
      <c r="L70" s="200">
        <v>699173</v>
      </c>
      <c r="M70" s="196">
        <f t="shared" si="19"/>
        <v>0</v>
      </c>
      <c r="N70" s="36"/>
      <c r="O70" s="407">
        <f t="shared" si="6"/>
        <v>0</v>
      </c>
      <c r="P70" s="408">
        <f t="shared" si="7"/>
        <v>0</v>
      </c>
      <c r="Q70" s="308">
        <f t="shared" si="8"/>
        <v>0</v>
      </c>
      <c r="R70" s="43">
        <f t="shared" si="9"/>
        <v>0</v>
      </c>
      <c r="S70" s="200"/>
      <c r="T70" s="266"/>
      <c r="U70" s="227">
        <f t="shared" si="10"/>
        <v>317411.76604459138</v>
      </c>
      <c r="V70" s="36">
        <f t="shared" si="11"/>
        <v>349.54895604459136</v>
      </c>
      <c r="W70" s="36">
        <f t="shared" si="21"/>
        <v>349.5865</v>
      </c>
      <c r="X70" s="248">
        <f t="shared" si="26"/>
        <v>699.173</v>
      </c>
      <c r="Y70" s="43">
        <f t="shared" si="26"/>
        <v>699.173</v>
      </c>
      <c r="Z70" s="250">
        <f t="shared" si="14"/>
        <v>349.62404395540864</v>
      </c>
      <c r="AA70" s="174">
        <f t="shared" si="15"/>
        <v>0</v>
      </c>
      <c r="AB70" s="252"/>
      <c r="AD70" s="252"/>
      <c r="AE70" s="386"/>
    </row>
    <row r="71" spans="1:31" s="117" customFormat="1" ht="9.9499999999999993" hidden="1" customHeight="1" x14ac:dyDescent="0.15">
      <c r="A71" s="144"/>
      <c r="B71" s="134"/>
      <c r="C71" s="145">
        <f t="shared" si="1"/>
        <v>0</v>
      </c>
      <c r="D71" s="195">
        <f t="shared" si="2"/>
        <v>0</v>
      </c>
      <c r="E71" s="274"/>
      <c r="F71" s="301">
        <f t="shared" si="23"/>
        <v>0</v>
      </c>
      <c r="G71" s="258">
        <f t="shared" si="17"/>
        <v>0</v>
      </c>
      <c r="H71" s="246">
        <f t="shared" si="18"/>
        <v>0</v>
      </c>
      <c r="I71" s="198">
        <f t="shared" si="27"/>
        <v>0</v>
      </c>
      <c r="J71" s="305">
        <f t="shared" si="3"/>
        <v>0</v>
      </c>
      <c r="K71" s="43">
        <f t="shared" si="20"/>
        <v>0</v>
      </c>
      <c r="L71" s="200"/>
      <c r="M71" s="196">
        <f t="shared" si="19"/>
        <v>0</v>
      </c>
      <c r="N71" s="36"/>
      <c r="O71" s="405">
        <f t="shared" si="6"/>
        <v>0</v>
      </c>
      <c r="P71" s="406">
        <f>S71/4*3</f>
        <v>0</v>
      </c>
      <c r="Q71" s="309">
        <f t="shared" si="8"/>
        <v>0</v>
      </c>
      <c r="R71" s="43">
        <f t="shared" si="9"/>
        <v>0</v>
      </c>
      <c r="S71" s="200"/>
      <c r="T71" s="266"/>
      <c r="U71" s="227">
        <f t="shared" si="10"/>
        <v>0</v>
      </c>
      <c r="V71" s="36">
        <f t="shared" si="11"/>
        <v>0</v>
      </c>
      <c r="W71" s="36">
        <f t="shared" si="21"/>
        <v>0</v>
      </c>
      <c r="X71" s="248">
        <f t="shared" si="26"/>
        <v>0</v>
      </c>
      <c r="Y71" s="43">
        <f t="shared" si="26"/>
        <v>0</v>
      </c>
      <c r="Z71" s="250">
        <f t="shared" si="14"/>
        <v>0</v>
      </c>
      <c r="AA71" s="174">
        <f t="shared" si="15"/>
        <v>0</v>
      </c>
      <c r="AB71" s="252"/>
      <c r="AD71" s="252"/>
    </row>
    <row r="72" spans="1:31" s="117" customFormat="1" ht="9.9499999999999993" hidden="1" customHeight="1" x14ac:dyDescent="0.15">
      <c r="A72" s="144"/>
      <c r="B72" s="134"/>
      <c r="C72" s="145">
        <f t="shared" si="1"/>
        <v>0</v>
      </c>
      <c r="D72" s="195">
        <f t="shared" si="2"/>
        <v>0</v>
      </c>
      <c r="E72" s="274"/>
      <c r="F72" s="301">
        <f t="shared" si="23"/>
        <v>0</v>
      </c>
      <c r="G72" s="258">
        <f t="shared" si="17"/>
        <v>0</v>
      </c>
      <c r="H72" s="246">
        <f t="shared" si="18"/>
        <v>0</v>
      </c>
      <c r="I72" s="198">
        <f t="shared" si="27"/>
        <v>0</v>
      </c>
      <c r="J72" s="305">
        <f t="shared" si="3"/>
        <v>0</v>
      </c>
      <c r="K72" s="43">
        <f t="shared" si="20"/>
        <v>0</v>
      </c>
      <c r="L72" s="200"/>
      <c r="M72" s="196">
        <f t="shared" si="19"/>
        <v>0</v>
      </c>
      <c r="N72" s="36"/>
      <c r="O72" s="405">
        <f t="shared" si="6"/>
        <v>0</v>
      </c>
      <c r="P72" s="406">
        <f t="shared" si="7"/>
        <v>0</v>
      </c>
      <c r="Q72" s="309">
        <f t="shared" si="8"/>
        <v>0</v>
      </c>
      <c r="R72" s="43">
        <f t="shared" si="9"/>
        <v>0</v>
      </c>
      <c r="S72" s="200"/>
      <c r="T72" s="266"/>
      <c r="U72" s="210">
        <f t="shared" si="10"/>
        <v>0</v>
      </c>
      <c r="V72" s="36">
        <f t="shared" si="11"/>
        <v>0</v>
      </c>
      <c r="W72" s="36">
        <f t="shared" si="21"/>
        <v>0</v>
      </c>
      <c r="X72" s="248">
        <f t="shared" si="26"/>
        <v>0</v>
      </c>
      <c r="Y72" s="43">
        <f t="shared" si="26"/>
        <v>0</v>
      </c>
      <c r="Z72" s="250">
        <f t="shared" si="14"/>
        <v>0</v>
      </c>
      <c r="AA72" s="174">
        <f t="shared" si="15"/>
        <v>0</v>
      </c>
      <c r="AB72" s="252"/>
      <c r="AD72" s="252"/>
    </row>
    <row r="73" spans="1:31" s="117" customFormat="1" ht="9.75" hidden="1" customHeight="1" x14ac:dyDescent="0.15">
      <c r="A73" s="144"/>
      <c r="B73" s="134"/>
      <c r="C73" s="145">
        <f t="shared" si="1"/>
        <v>0</v>
      </c>
      <c r="D73" s="195">
        <f t="shared" si="2"/>
        <v>0</v>
      </c>
      <c r="E73" s="274"/>
      <c r="F73" s="301">
        <f t="shared" si="23"/>
        <v>0</v>
      </c>
      <c r="G73" s="258">
        <f t="shared" si="17"/>
        <v>0</v>
      </c>
      <c r="H73" s="246">
        <f t="shared" si="18"/>
        <v>0</v>
      </c>
      <c r="I73" s="198">
        <f t="shared" si="27"/>
        <v>0</v>
      </c>
      <c r="J73" s="305">
        <f t="shared" si="3"/>
        <v>0</v>
      </c>
      <c r="K73" s="43">
        <f t="shared" si="20"/>
        <v>0</v>
      </c>
      <c r="L73" s="200"/>
      <c r="M73" s="196">
        <f t="shared" si="19"/>
        <v>0</v>
      </c>
      <c r="N73" s="36"/>
      <c r="O73" s="405">
        <f t="shared" si="6"/>
        <v>0</v>
      </c>
      <c r="P73" s="406">
        <f t="shared" si="7"/>
        <v>0</v>
      </c>
      <c r="Q73" s="309">
        <f t="shared" si="8"/>
        <v>0</v>
      </c>
      <c r="R73" s="43">
        <f t="shared" si="9"/>
        <v>0</v>
      </c>
      <c r="S73" s="200"/>
      <c r="T73" s="266"/>
      <c r="U73" s="210">
        <f t="shared" si="10"/>
        <v>0</v>
      </c>
      <c r="V73" s="36">
        <f t="shared" si="11"/>
        <v>0</v>
      </c>
      <c r="W73" s="36">
        <f t="shared" si="21"/>
        <v>0</v>
      </c>
      <c r="X73" s="248">
        <f t="shared" si="26"/>
        <v>0</v>
      </c>
      <c r="Y73" s="43">
        <f t="shared" si="26"/>
        <v>0</v>
      </c>
      <c r="Z73" s="250">
        <f t="shared" si="14"/>
        <v>0</v>
      </c>
      <c r="AA73" s="174">
        <f t="shared" si="15"/>
        <v>0</v>
      </c>
      <c r="AB73" s="252"/>
      <c r="AD73" s="252"/>
    </row>
    <row r="74" spans="1:31" s="117" customFormat="1" ht="9.9499999999999993" hidden="1" customHeight="1" x14ac:dyDescent="0.15">
      <c r="A74" s="144"/>
      <c r="B74" s="134"/>
      <c r="C74" s="145">
        <f t="shared" si="1"/>
        <v>0</v>
      </c>
      <c r="D74" s="195">
        <f t="shared" si="2"/>
        <v>0</v>
      </c>
      <c r="E74" s="274"/>
      <c r="F74" s="301">
        <f t="shared" si="23"/>
        <v>0</v>
      </c>
      <c r="G74" s="258">
        <f t="shared" si="17"/>
        <v>0</v>
      </c>
      <c r="H74" s="246">
        <f t="shared" si="18"/>
        <v>0</v>
      </c>
      <c r="I74" s="198">
        <f t="shared" si="27"/>
        <v>0</v>
      </c>
      <c r="J74" s="305">
        <f t="shared" si="3"/>
        <v>0</v>
      </c>
      <c r="K74" s="43">
        <f t="shared" si="20"/>
        <v>0</v>
      </c>
      <c r="L74" s="200">
        <v>0</v>
      </c>
      <c r="M74" s="196">
        <f t="shared" si="19"/>
        <v>0</v>
      </c>
      <c r="N74" s="36"/>
      <c r="O74" s="405">
        <f t="shared" si="6"/>
        <v>0</v>
      </c>
      <c r="P74" s="406">
        <f t="shared" si="7"/>
        <v>0</v>
      </c>
      <c r="Q74" s="309">
        <f t="shared" si="8"/>
        <v>0</v>
      </c>
      <c r="R74" s="43">
        <f t="shared" si="9"/>
        <v>0</v>
      </c>
      <c r="S74" s="200"/>
      <c r="T74" s="266"/>
      <c r="U74" s="210">
        <f t="shared" si="10"/>
        <v>0</v>
      </c>
      <c r="V74" s="36">
        <f t="shared" si="11"/>
        <v>0</v>
      </c>
      <c r="W74" s="36">
        <f t="shared" si="21"/>
        <v>0</v>
      </c>
      <c r="X74" s="248">
        <f t="shared" si="26"/>
        <v>0</v>
      </c>
      <c r="Y74" s="43">
        <f t="shared" si="26"/>
        <v>0</v>
      </c>
      <c r="Z74" s="250">
        <f t="shared" si="14"/>
        <v>0</v>
      </c>
      <c r="AA74" s="174">
        <f t="shared" si="15"/>
        <v>0</v>
      </c>
      <c r="AB74" s="252"/>
      <c r="AD74" s="252"/>
    </row>
    <row r="75" spans="1:31" s="117" customFormat="1" ht="9.9499999999999993" hidden="1" customHeight="1" x14ac:dyDescent="0.15">
      <c r="A75" s="144"/>
      <c r="B75" s="134"/>
      <c r="C75" s="145">
        <f t="shared" si="1"/>
        <v>0</v>
      </c>
      <c r="D75" s="195">
        <f t="shared" si="2"/>
        <v>0</v>
      </c>
      <c r="E75" s="274"/>
      <c r="F75" s="301">
        <f t="shared" si="23"/>
        <v>0</v>
      </c>
      <c r="G75" s="258">
        <f t="shared" si="17"/>
        <v>0</v>
      </c>
      <c r="H75" s="246">
        <f t="shared" si="18"/>
        <v>0</v>
      </c>
      <c r="I75" s="198">
        <f t="shared" si="27"/>
        <v>0</v>
      </c>
      <c r="J75" s="305">
        <f t="shared" si="3"/>
        <v>0</v>
      </c>
      <c r="K75" s="43">
        <f t="shared" si="20"/>
        <v>0</v>
      </c>
      <c r="L75" s="200"/>
      <c r="M75" s="196">
        <f t="shared" si="19"/>
        <v>0</v>
      </c>
      <c r="N75" s="36"/>
      <c r="O75" s="405">
        <f t="shared" si="6"/>
        <v>0</v>
      </c>
      <c r="P75" s="406">
        <f t="shared" si="7"/>
        <v>0</v>
      </c>
      <c r="Q75" s="309">
        <f t="shared" si="8"/>
        <v>0</v>
      </c>
      <c r="R75" s="43">
        <f t="shared" si="9"/>
        <v>0</v>
      </c>
      <c r="S75" s="200"/>
      <c r="T75" s="266"/>
      <c r="U75" s="210">
        <f t="shared" si="10"/>
        <v>0</v>
      </c>
      <c r="V75" s="36">
        <f t="shared" si="11"/>
        <v>0</v>
      </c>
      <c r="W75" s="36">
        <f t="shared" si="21"/>
        <v>0</v>
      </c>
      <c r="X75" s="248">
        <f t="shared" si="26"/>
        <v>0</v>
      </c>
      <c r="Y75" s="43">
        <f t="shared" si="26"/>
        <v>0</v>
      </c>
      <c r="Z75" s="250">
        <f t="shared" si="14"/>
        <v>0</v>
      </c>
      <c r="AA75" s="174">
        <f t="shared" si="15"/>
        <v>0</v>
      </c>
      <c r="AB75" s="252"/>
      <c r="AD75" s="252"/>
    </row>
    <row r="76" spans="1:31" s="117" customFormat="1" ht="9.9499999999999993" hidden="1" customHeight="1" x14ac:dyDescent="0.15">
      <c r="A76" s="144"/>
      <c r="B76" s="134"/>
      <c r="C76" s="145">
        <f t="shared" si="1"/>
        <v>0</v>
      </c>
      <c r="D76" s="195">
        <f t="shared" si="2"/>
        <v>0</v>
      </c>
      <c r="E76" s="274"/>
      <c r="F76" s="301">
        <f t="shared" si="23"/>
        <v>0</v>
      </c>
      <c r="G76" s="258">
        <f t="shared" si="17"/>
        <v>0</v>
      </c>
      <c r="H76" s="246">
        <f t="shared" si="18"/>
        <v>0</v>
      </c>
      <c r="I76" s="198">
        <f t="shared" si="27"/>
        <v>0</v>
      </c>
      <c r="J76" s="305">
        <f t="shared" si="3"/>
        <v>0</v>
      </c>
      <c r="K76" s="43">
        <f t="shared" si="20"/>
        <v>0</v>
      </c>
      <c r="L76" s="200"/>
      <c r="M76" s="196">
        <f t="shared" si="19"/>
        <v>0</v>
      </c>
      <c r="N76" s="36"/>
      <c r="O76" s="405">
        <f t="shared" si="6"/>
        <v>0</v>
      </c>
      <c r="P76" s="406">
        <f t="shared" si="7"/>
        <v>0</v>
      </c>
      <c r="Q76" s="309">
        <f t="shared" si="8"/>
        <v>0</v>
      </c>
      <c r="R76" s="43">
        <f t="shared" si="9"/>
        <v>0</v>
      </c>
      <c r="S76" s="200"/>
      <c r="T76" s="266"/>
      <c r="U76" s="210">
        <f t="shared" si="10"/>
        <v>0</v>
      </c>
      <c r="V76" s="36">
        <f t="shared" si="11"/>
        <v>0</v>
      </c>
      <c r="W76" s="36">
        <f t="shared" si="21"/>
        <v>0</v>
      </c>
      <c r="X76" s="248">
        <f t="shared" si="26"/>
        <v>0</v>
      </c>
      <c r="Y76" s="43">
        <f t="shared" si="26"/>
        <v>0</v>
      </c>
      <c r="Z76" s="250">
        <f t="shared" si="14"/>
        <v>0</v>
      </c>
      <c r="AA76" s="174">
        <f t="shared" si="15"/>
        <v>0</v>
      </c>
      <c r="AB76" s="252"/>
      <c r="AD76" s="252"/>
    </row>
    <row r="77" spans="1:31" s="118" customFormat="1" ht="9.9499999999999993" customHeight="1" x14ac:dyDescent="0.15">
      <c r="A77" s="152" t="s">
        <v>377</v>
      </c>
      <c r="B77" s="125">
        <f>SUM(B78:B80)</f>
        <v>1.2</v>
      </c>
      <c r="C77" s="140">
        <f t="shared" si="1"/>
        <v>373.66254113955415</v>
      </c>
      <c r="D77" s="195">
        <f t="shared" si="2"/>
        <v>373662.54113955417</v>
      </c>
      <c r="E77" s="247">
        <f>SUM(E78:E80)</f>
        <v>27395.16</v>
      </c>
      <c r="F77" s="301">
        <f>K77/2</f>
        <v>390.685</v>
      </c>
      <c r="G77" s="258">
        <f t="shared" si="17"/>
        <v>195342.5</v>
      </c>
      <c r="H77" s="246">
        <f t="shared" si="18"/>
        <v>686370</v>
      </c>
      <c r="I77" s="198">
        <f>SUM(I78:I79)</f>
        <v>95000</v>
      </c>
      <c r="J77" s="305">
        <f>J78+J79</f>
        <v>746.38300000000004</v>
      </c>
      <c r="K77" s="41">
        <f t="shared" si="20"/>
        <v>781.37</v>
      </c>
      <c r="L77" s="198">
        <f>SUM(L78:L80)</f>
        <v>781370</v>
      </c>
      <c r="M77" s="195">
        <f t="shared" si="19"/>
        <v>0</v>
      </c>
      <c r="N77" s="33">
        <f>N79+N80</f>
        <v>0</v>
      </c>
      <c r="O77" s="405">
        <f t="shared" si="6"/>
        <v>0</v>
      </c>
      <c r="P77" s="406">
        <f t="shared" si="7"/>
        <v>0</v>
      </c>
      <c r="Q77" s="309">
        <f t="shared" si="8"/>
        <v>0</v>
      </c>
      <c r="R77" s="41">
        <f t="shared" si="9"/>
        <v>0</v>
      </c>
      <c r="S77" s="198">
        <f>SUM(S78:S80)</f>
        <v>0</v>
      </c>
      <c r="T77" s="198">
        <f>T79+T78</f>
        <v>0</v>
      </c>
      <c r="U77" s="210">
        <f>SUM(U78:U79)</f>
        <v>346267.3811395542</v>
      </c>
      <c r="V77" s="33">
        <f>C77+M77</f>
        <v>373.66254113955415</v>
      </c>
      <c r="W77" s="33">
        <f>F77+O77</f>
        <v>390.685</v>
      </c>
      <c r="X77" s="306">
        <f>SUM(X78:X79)</f>
        <v>746.38300000000004</v>
      </c>
      <c r="Y77" s="41">
        <f t="shared" si="26"/>
        <v>781.37</v>
      </c>
      <c r="Z77" s="250">
        <f t="shared" si="14"/>
        <v>372.72045886044589</v>
      </c>
      <c r="AA77" s="174">
        <f t="shared" si="15"/>
        <v>0</v>
      </c>
      <c r="AB77" s="252"/>
      <c r="AD77" s="252"/>
    </row>
    <row r="78" spans="1:31" s="118" customFormat="1" ht="9.9499999999999993" customHeight="1" x14ac:dyDescent="0.15">
      <c r="A78" s="144" t="s">
        <v>378</v>
      </c>
      <c r="B78" s="134">
        <v>0.7</v>
      </c>
      <c r="C78" s="145">
        <f t="shared" ref="C78:C93" si="29">D78/1000</f>
        <v>220.46205566473995</v>
      </c>
      <c r="D78" s="196">
        <f t="shared" ref="D78:D145" si="30">E78+U78</f>
        <v>220462.05566473995</v>
      </c>
      <c r="E78" s="274">
        <v>18472.75</v>
      </c>
      <c r="F78" s="304">
        <f>K78/2</f>
        <v>222.69149999999999</v>
      </c>
      <c r="G78" s="258">
        <f t="shared" si="17"/>
        <v>111345.75</v>
      </c>
      <c r="H78" s="335">
        <f t="shared" si="18"/>
        <v>400383</v>
      </c>
      <c r="I78" s="200">
        <v>45000</v>
      </c>
      <c r="J78" s="307">
        <f>K78</f>
        <v>445.38299999999998</v>
      </c>
      <c r="K78" s="43">
        <f t="shared" si="20"/>
        <v>445.38299999999998</v>
      </c>
      <c r="L78" s="200">
        <v>445383</v>
      </c>
      <c r="M78" s="196">
        <f t="shared" si="19"/>
        <v>0</v>
      </c>
      <c r="N78" s="36"/>
      <c r="O78" s="407">
        <f t="shared" ref="O78:O141" si="31">R78/4*1</f>
        <v>0</v>
      </c>
      <c r="P78" s="408">
        <f t="shared" ref="P78:P104" si="32">S78/4*3</f>
        <v>0</v>
      </c>
      <c r="Q78" s="308">
        <f t="shared" ref="Q78:Q141" si="33">R78</f>
        <v>0</v>
      </c>
      <c r="R78" s="43">
        <f t="shared" si="9"/>
        <v>0</v>
      </c>
      <c r="S78" s="198"/>
      <c r="T78" s="266"/>
      <c r="U78" s="227">
        <f t="shared" si="10"/>
        <v>201989.30566473995</v>
      </c>
      <c r="V78" s="36">
        <f>C78+M78</f>
        <v>220.46205566473995</v>
      </c>
      <c r="W78" s="36">
        <f>F78+O78</f>
        <v>222.69149999999999</v>
      </c>
      <c r="X78" s="248">
        <f t="shared" si="26"/>
        <v>445.38299999999998</v>
      </c>
      <c r="Y78" s="43">
        <f t="shared" si="26"/>
        <v>445.38299999999998</v>
      </c>
      <c r="Z78" s="250">
        <f t="shared" ref="Z78:Z106" si="34">J78-C78</f>
        <v>224.92094433526003</v>
      </c>
      <c r="AA78" s="174">
        <f t="shared" ref="AA78:AA105" si="35">M78-Q78</f>
        <v>0</v>
      </c>
      <c r="AB78" s="252"/>
      <c r="AD78" s="252"/>
    </row>
    <row r="79" spans="1:31" s="117" customFormat="1" ht="9.9499999999999993" customHeight="1" x14ac:dyDescent="0.15">
      <c r="A79" s="144" t="s">
        <v>379</v>
      </c>
      <c r="B79" s="134">
        <v>0.5</v>
      </c>
      <c r="C79" s="145">
        <f t="shared" si="29"/>
        <v>153.20048547481426</v>
      </c>
      <c r="D79" s="196">
        <f t="shared" si="30"/>
        <v>153200.48547481425</v>
      </c>
      <c r="E79" s="274">
        <f>8025.24+897.17</f>
        <v>8922.41</v>
      </c>
      <c r="F79" s="304">
        <f t="shared" ref="F79:F118" si="36">K79/2</f>
        <v>167.99350000000001</v>
      </c>
      <c r="G79" s="334">
        <f t="shared" ref="G79:G155" si="37">L79/4*1</f>
        <v>83996.75</v>
      </c>
      <c r="H79" s="335">
        <f t="shared" ref="H79:H155" si="38">L79-I79</f>
        <v>285987</v>
      </c>
      <c r="I79" s="200">
        <v>50000</v>
      </c>
      <c r="J79" s="307">
        <v>301</v>
      </c>
      <c r="K79" s="43">
        <f t="shared" si="20"/>
        <v>335.98700000000002</v>
      </c>
      <c r="L79" s="200">
        <v>335987</v>
      </c>
      <c r="M79" s="196">
        <f t="shared" si="19"/>
        <v>0</v>
      </c>
      <c r="N79" s="36"/>
      <c r="O79" s="407">
        <f t="shared" si="31"/>
        <v>0</v>
      </c>
      <c r="P79" s="408">
        <f t="shared" si="32"/>
        <v>0</v>
      </c>
      <c r="Q79" s="308">
        <f t="shared" si="33"/>
        <v>0</v>
      </c>
      <c r="R79" s="43">
        <f t="shared" si="9"/>
        <v>0</v>
      </c>
      <c r="S79" s="200"/>
      <c r="T79" s="266"/>
      <c r="U79" s="227">
        <f t="shared" si="10"/>
        <v>144278.07547481425</v>
      </c>
      <c r="V79" s="36">
        <f t="shared" ref="V79:V118" si="39">C79+M79</f>
        <v>153.20048547481426</v>
      </c>
      <c r="W79" s="36">
        <f>F79+O79</f>
        <v>167.99350000000001</v>
      </c>
      <c r="X79" s="248">
        <f t="shared" si="26"/>
        <v>301</v>
      </c>
      <c r="Y79" s="43">
        <f t="shared" si="26"/>
        <v>335.98700000000002</v>
      </c>
      <c r="Z79" s="250">
        <f t="shared" si="34"/>
        <v>147.79951452518574</v>
      </c>
      <c r="AA79" s="174">
        <f t="shared" si="35"/>
        <v>0</v>
      </c>
      <c r="AB79" s="252"/>
      <c r="AD79" s="252"/>
      <c r="AE79" s="386"/>
    </row>
    <row r="80" spans="1:31" s="117" customFormat="1" ht="9.9499999999999993" hidden="1" customHeight="1" x14ac:dyDescent="0.15">
      <c r="A80" s="144"/>
      <c r="B80" s="134"/>
      <c r="C80" s="145">
        <f t="shared" si="29"/>
        <v>0</v>
      </c>
      <c r="D80" s="195">
        <f t="shared" si="30"/>
        <v>0</v>
      </c>
      <c r="E80" s="194"/>
      <c r="F80" s="304">
        <f t="shared" si="36"/>
        <v>0</v>
      </c>
      <c r="G80" s="334">
        <f t="shared" si="37"/>
        <v>0</v>
      </c>
      <c r="H80" s="335">
        <f t="shared" si="38"/>
        <v>0</v>
      </c>
      <c r="I80" s="198">
        <f t="shared" si="27"/>
        <v>0</v>
      </c>
      <c r="J80" s="305">
        <f t="shared" ref="J80:J141" si="40">K80</f>
        <v>0</v>
      </c>
      <c r="K80" s="41">
        <f t="shared" si="20"/>
        <v>0</v>
      </c>
      <c r="L80" s="200"/>
      <c r="M80" s="195">
        <f t="shared" si="19"/>
        <v>0</v>
      </c>
      <c r="N80" s="36"/>
      <c r="O80" s="405">
        <f t="shared" si="31"/>
        <v>0</v>
      </c>
      <c r="P80" s="406">
        <f t="shared" si="32"/>
        <v>0</v>
      </c>
      <c r="Q80" s="309">
        <f t="shared" si="33"/>
        <v>0</v>
      </c>
      <c r="R80" s="43">
        <f t="shared" ref="R80:R118" si="41">S80/1000*-1</f>
        <v>0</v>
      </c>
      <c r="S80" s="200"/>
      <c r="T80" s="266"/>
      <c r="U80" s="210">
        <f t="shared" si="10"/>
        <v>0</v>
      </c>
      <c r="V80" s="36">
        <f t="shared" si="39"/>
        <v>0</v>
      </c>
      <c r="W80" s="36">
        <f>F80+O80</f>
        <v>0</v>
      </c>
      <c r="X80" s="306">
        <f t="shared" si="26"/>
        <v>0</v>
      </c>
      <c r="Y80" s="43">
        <f t="shared" si="26"/>
        <v>0</v>
      </c>
      <c r="Z80" s="250">
        <f t="shared" si="34"/>
        <v>0</v>
      </c>
      <c r="AA80" s="174">
        <f t="shared" si="35"/>
        <v>0</v>
      </c>
      <c r="AB80" s="252"/>
      <c r="AD80" s="252"/>
    </row>
    <row r="81" spans="1:31" s="118" customFormat="1" ht="9.9499999999999993" customHeight="1" x14ac:dyDescent="0.15">
      <c r="A81" s="152" t="s">
        <v>380</v>
      </c>
      <c r="B81" s="125">
        <f>SUM(B82:B85)</f>
        <v>0.85</v>
      </c>
      <c r="C81" s="140">
        <f t="shared" si="29"/>
        <v>371.75226830718424</v>
      </c>
      <c r="D81" s="195">
        <f t="shared" si="30"/>
        <v>371752.26830718422</v>
      </c>
      <c r="E81" s="247">
        <f>SUM(E82:E85)</f>
        <v>126479.54</v>
      </c>
      <c r="F81" s="301">
        <f t="shared" si="36"/>
        <v>310.58949999999999</v>
      </c>
      <c r="G81" s="258">
        <f t="shared" si="37"/>
        <v>155294.75</v>
      </c>
      <c r="H81" s="246">
        <f t="shared" si="38"/>
        <v>486179</v>
      </c>
      <c r="I81" s="198">
        <f>I82</f>
        <v>135000</v>
      </c>
      <c r="J81" s="305">
        <f>J82</f>
        <v>651</v>
      </c>
      <c r="K81" s="41">
        <f t="shared" si="20"/>
        <v>621.17899999999997</v>
      </c>
      <c r="L81" s="198">
        <f>L82</f>
        <v>621179</v>
      </c>
      <c r="M81" s="195">
        <f t="shared" si="19"/>
        <v>-2</v>
      </c>
      <c r="N81" s="33">
        <f>N83+N84</f>
        <v>0</v>
      </c>
      <c r="O81" s="405">
        <f t="shared" si="31"/>
        <v>0</v>
      </c>
      <c r="P81" s="406">
        <f t="shared" si="32"/>
        <v>0</v>
      </c>
      <c r="Q81" s="309">
        <f>M81</f>
        <v>-2</v>
      </c>
      <c r="R81" s="41">
        <f t="shared" si="41"/>
        <v>0</v>
      </c>
      <c r="S81" s="198">
        <f>S83+S84+S85</f>
        <v>0</v>
      </c>
      <c r="T81" s="198">
        <f>SUM(T82:T85)</f>
        <v>2000</v>
      </c>
      <c r="U81" s="210">
        <f>SUM(U82:U85)</f>
        <v>245272.72830718421</v>
      </c>
      <c r="V81" s="33">
        <f t="shared" si="39"/>
        <v>369.75226830718424</v>
      </c>
      <c r="W81" s="33">
        <f>F81+O81</f>
        <v>310.58949999999999</v>
      </c>
      <c r="X81" s="306">
        <f>SUM(X82)</f>
        <v>649</v>
      </c>
      <c r="Y81" s="41">
        <f t="shared" si="26"/>
        <v>621.17899999999997</v>
      </c>
      <c r="Z81" s="250">
        <f t="shared" si="34"/>
        <v>279.24773169281576</v>
      </c>
      <c r="AA81" s="174">
        <f t="shared" si="35"/>
        <v>0</v>
      </c>
      <c r="AB81" s="252"/>
      <c r="AD81" s="252"/>
    </row>
    <row r="82" spans="1:31" s="118" customFormat="1" ht="9.9499999999999993" customHeight="1" x14ac:dyDescent="0.15">
      <c r="A82" s="144" t="s">
        <v>381</v>
      </c>
      <c r="B82" s="134">
        <v>0.85</v>
      </c>
      <c r="C82" s="145">
        <f>D82/1000</f>
        <v>371.75226830718424</v>
      </c>
      <c r="D82" s="196">
        <f t="shared" si="30"/>
        <v>371752.26830718422</v>
      </c>
      <c r="E82" s="274">
        <f>150438.87-23959.33</f>
        <v>126479.54</v>
      </c>
      <c r="F82" s="304">
        <f t="shared" si="36"/>
        <v>310.58949999999999</v>
      </c>
      <c r="G82" s="334">
        <f t="shared" si="37"/>
        <v>155294.75</v>
      </c>
      <c r="H82" s="335">
        <f t="shared" si="38"/>
        <v>486179</v>
      </c>
      <c r="I82" s="200">
        <v>135000</v>
      </c>
      <c r="J82" s="307">
        <v>651</v>
      </c>
      <c r="K82" s="43">
        <f t="shared" si="20"/>
        <v>621.17899999999997</v>
      </c>
      <c r="L82" s="200">
        <v>621179</v>
      </c>
      <c r="M82" s="196">
        <f t="shared" si="19"/>
        <v>-2</v>
      </c>
      <c r="N82" s="33"/>
      <c r="O82" s="407">
        <f t="shared" si="31"/>
        <v>0</v>
      </c>
      <c r="P82" s="408">
        <f t="shared" si="32"/>
        <v>0</v>
      </c>
      <c r="Q82" s="308">
        <f>M82</f>
        <v>-2</v>
      </c>
      <c r="R82" s="43">
        <f t="shared" si="41"/>
        <v>0</v>
      </c>
      <c r="S82" s="198"/>
      <c r="T82" s="265">
        <v>2000</v>
      </c>
      <c r="U82" s="227">
        <f t="shared" si="10"/>
        <v>245272.72830718421</v>
      </c>
      <c r="V82" s="36">
        <f t="shared" si="39"/>
        <v>369.75226830718424</v>
      </c>
      <c r="W82" s="36">
        <f t="shared" ref="W82:W118" si="42">F82+O82</f>
        <v>310.58949999999999</v>
      </c>
      <c r="X82" s="248">
        <f t="shared" si="26"/>
        <v>649</v>
      </c>
      <c r="Y82" s="43">
        <f t="shared" si="26"/>
        <v>621.17899999999997</v>
      </c>
      <c r="Z82" s="250">
        <f t="shared" si="34"/>
        <v>279.24773169281576</v>
      </c>
      <c r="AA82" s="174">
        <f t="shared" si="35"/>
        <v>0</v>
      </c>
      <c r="AB82" s="252"/>
      <c r="AD82" s="252"/>
      <c r="AE82" s="387"/>
    </row>
    <row r="83" spans="1:31" s="117" customFormat="1" ht="9.9499999999999993" hidden="1" customHeight="1" x14ac:dyDescent="0.15">
      <c r="A83" s="144"/>
      <c r="B83" s="134"/>
      <c r="C83" s="145">
        <f t="shared" si="29"/>
        <v>0</v>
      </c>
      <c r="D83" s="195">
        <f t="shared" si="30"/>
        <v>0</v>
      </c>
      <c r="E83" s="274"/>
      <c r="F83" s="304">
        <f t="shared" si="36"/>
        <v>0</v>
      </c>
      <c r="G83" s="258">
        <f t="shared" si="37"/>
        <v>0</v>
      </c>
      <c r="H83" s="246"/>
      <c r="I83" s="198">
        <f t="shared" si="27"/>
        <v>0</v>
      </c>
      <c r="J83" s="305">
        <f t="shared" si="40"/>
        <v>0</v>
      </c>
      <c r="K83" s="43">
        <f t="shared" si="20"/>
        <v>0</v>
      </c>
      <c r="L83" s="200"/>
      <c r="M83" s="196">
        <f t="shared" si="19"/>
        <v>0</v>
      </c>
      <c r="N83" s="36"/>
      <c r="O83" s="405">
        <f t="shared" si="31"/>
        <v>0</v>
      </c>
      <c r="P83" s="406">
        <f t="shared" si="32"/>
        <v>0</v>
      </c>
      <c r="Q83" s="309">
        <f t="shared" si="33"/>
        <v>0</v>
      </c>
      <c r="R83" s="43">
        <f t="shared" si="41"/>
        <v>0</v>
      </c>
      <c r="S83" s="200"/>
      <c r="T83" s="266"/>
      <c r="U83" s="227">
        <f t="shared" si="10"/>
        <v>0</v>
      </c>
      <c r="V83" s="36">
        <f t="shared" si="39"/>
        <v>0</v>
      </c>
      <c r="W83" s="36">
        <f t="shared" si="42"/>
        <v>0</v>
      </c>
      <c r="X83" s="248">
        <f t="shared" si="26"/>
        <v>0</v>
      </c>
      <c r="Y83" s="43">
        <f t="shared" si="26"/>
        <v>0</v>
      </c>
      <c r="Z83" s="250">
        <f t="shared" si="34"/>
        <v>0</v>
      </c>
      <c r="AA83" s="174">
        <f t="shared" si="35"/>
        <v>0</v>
      </c>
      <c r="AB83" s="252"/>
      <c r="AD83" s="252"/>
    </row>
    <row r="84" spans="1:31" s="117" customFormat="1" ht="9.9499999999999993" hidden="1" customHeight="1" x14ac:dyDescent="0.15">
      <c r="A84" s="144"/>
      <c r="B84" s="134"/>
      <c r="C84" s="145">
        <f t="shared" si="29"/>
        <v>0</v>
      </c>
      <c r="D84" s="195">
        <f t="shared" si="30"/>
        <v>0</v>
      </c>
      <c r="E84" s="274"/>
      <c r="F84" s="304">
        <f t="shared" si="36"/>
        <v>0</v>
      </c>
      <c r="G84" s="258">
        <f t="shared" si="37"/>
        <v>0</v>
      </c>
      <c r="H84" s="246">
        <f t="shared" si="38"/>
        <v>0</v>
      </c>
      <c r="I84" s="198">
        <f t="shared" si="27"/>
        <v>0</v>
      </c>
      <c r="J84" s="305">
        <f t="shared" si="40"/>
        <v>0</v>
      </c>
      <c r="K84" s="43">
        <f t="shared" si="20"/>
        <v>0</v>
      </c>
      <c r="L84" s="200"/>
      <c r="M84" s="196">
        <f t="shared" si="19"/>
        <v>0</v>
      </c>
      <c r="N84" s="36"/>
      <c r="O84" s="405">
        <f t="shared" si="31"/>
        <v>0</v>
      </c>
      <c r="P84" s="406">
        <f t="shared" si="32"/>
        <v>0</v>
      </c>
      <c r="Q84" s="309">
        <f t="shared" si="33"/>
        <v>0</v>
      </c>
      <c r="R84" s="43">
        <f t="shared" si="41"/>
        <v>0</v>
      </c>
      <c r="S84" s="200"/>
      <c r="T84" s="266"/>
      <c r="U84" s="227">
        <f t="shared" si="10"/>
        <v>0</v>
      </c>
      <c r="V84" s="36">
        <f t="shared" si="39"/>
        <v>0</v>
      </c>
      <c r="W84" s="36">
        <f t="shared" si="42"/>
        <v>0</v>
      </c>
      <c r="X84" s="248">
        <f t="shared" si="26"/>
        <v>0</v>
      </c>
      <c r="Y84" s="43">
        <f t="shared" si="26"/>
        <v>0</v>
      </c>
      <c r="Z84" s="250">
        <f t="shared" si="34"/>
        <v>0</v>
      </c>
      <c r="AA84" s="174">
        <f t="shared" si="35"/>
        <v>0</v>
      </c>
      <c r="AB84" s="252"/>
      <c r="AD84" s="252"/>
    </row>
    <row r="85" spans="1:31" s="117" customFormat="1" ht="9.9499999999999993" hidden="1" customHeight="1" x14ac:dyDescent="0.15">
      <c r="A85" s="144"/>
      <c r="B85" s="134"/>
      <c r="C85" s="145">
        <f t="shared" si="29"/>
        <v>0</v>
      </c>
      <c r="D85" s="195">
        <f t="shared" si="30"/>
        <v>0</v>
      </c>
      <c r="E85" s="274"/>
      <c r="F85" s="304">
        <f t="shared" si="36"/>
        <v>0</v>
      </c>
      <c r="G85" s="258">
        <f t="shared" si="37"/>
        <v>0</v>
      </c>
      <c r="H85" s="246">
        <f t="shared" si="38"/>
        <v>0</v>
      </c>
      <c r="I85" s="198">
        <f t="shared" si="27"/>
        <v>0</v>
      </c>
      <c r="J85" s="305">
        <f t="shared" si="40"/>
        <v>0</v>
      </c>
      <c r="K85" s="43">
        <f t="shared" si="20"/>
        <v>0</v>
      </c>
      <c r="L85" s="200"/>
      <c r="M85" s="196">
        <f t="shared" si="19"/>
        <v>0</v>
      </c>
      <c r="N85" s="36"/>
      <c r="O85" s="405">
        <f t="shared" si="31"/>
        <v>0</v>
      </c>
      <c r="P85" s="406">
        <f t="shared" si="32"/>
        <v>0</v>
      </c>
      <c r="Q85" s="309">
        <f t="shared" si="33"/>
        <v>0</v>
      </c>
      <c r="R85" s="43">
        <f t="shared" si="41"/>
        <v>0</v>
      </c>
      <c r="S85" s="200">
        <v>0</v>
      </c>
      <c r="T85" s="266"/>
      <c r="U85" s="227">
        <f t="shared" si="10"/>
        <v>0</v>
      </c>
      <c r="V85" s="36">
        <f t="shared" si="39"/>
        <v>0</v>
      </c>
      <c r="W85" s="36">
        <f t="shared" si="42"/>
        <v>0</v>
      </c>
      <c r="X85" s="248">
        <f t="shared" si="26"/>
        <v>0</v>
      </c>
      <c r="Y85" s="43">
        <f t="shared" si="26"/>
        <v>0</v>
      </c>
      <c r="Z85" s="250">
        <f t="shared" si="34"/>
        <v>0</v>
      </c>
      <c r="AA85" s="174">
        <f t="shared" si="35"/>
        <v>0</v>
      </c>
      <c r="AB85" s="252"/>
      <c r="AD85" s="252"/>
    </row>
    <row r="86" spans="1:31" s="118" customFormat="1" ht="9.9499999999999993" customHeight="1" x14ac:dyDescent="0.15">
      <c r="A86" s="152" t="s">
        <v>383</v>
      </c>
      <c r="B86" s="125">
        <f>SUM(B87:B101)</f>
        <v>2.6500000000000004</v>
      </c>
      <c r="C86" s="140">
        <f t="shared" si="29"/>
        <v>1117.9925800165156</v>
      </c>
      <c r="D86" s="195">
        <f>E86+U86</f>
        <v>1117992.5800165157</v>
      </c>
      <c r="E86" s="247">
        <f>SUM(E87:E94)</f>
        <v>353318.78</v>
      </c>
      <c r="F86" s="301">
        <f t="shared" si="36"/>
        <v>1255.367</v>
      </c>
      <c r="G86" s="258">
        <f t="shared" si="37"/>
        <v>627683.5</v>
      </c>
      <c r="H86" s="246">
        <f t="shared" si="38"/>
        <v>1515734</v>
      </c>
      <c r="I86" s="198">
        <f>SUM(I87:I91)</f>
        <v>995000</v>
      </c>
      <c r="J86" s="305">
        <f>SUM(J87:J91)</f>
        <v>2538.7840000000001</v>
      </c>
      <c r="K86" s="41">
        <f t="shared" si="20"/>
        <v>2510.7339999999999</v>
      </c>
      <c r="L86" s="198">
        <f>SUM(L87:L101)</f>
        <v>2510734</v>
      </c>
      <c r="M86" s="195">
        <f>T86/1000*-1</f>
        <v>-141.15879999999999</v>
      </c>
      <c r="N86" s="33">
        <f>SUM(N87:N101)</f>
        <v>0</v>
      </c>
      <c r="O86" s="405">
        <f>R86/2</f>
        <v>-320</v>
      </c>
      <c r="P86" s="406">
        <f t="shared" si="32"/>
        <v>480000</v>
      </c>
      <c r="Q86" s="309">
        <f>SUM(Q87:Q91)</f>
        <v>-680</v>
      </c>
      <c r="R86" s="41">
        <f t="shared" si="41"/>
        <v>-640</v>
      </c>
      <c r="S86" s="198">
        <f>SUM(S87:S101)</f>
        <v>640000</v>
      </c>
      <c r="T86" s="198">
        <f>SUM(T87:T93)</f>
        <v>141158.79999999999</v>
      </c>
      <c r="U86" s="210">
        <f>SUM(U87:U94)</f>
        <v>764673.80001651566</v>
      </c>
      <c r="V86" s="33">
        <f t="shared" si="39"/>
        <v>976.83378001651568</v>
      </c>
      <c r="W86" s="33">
        <f t="shared" si="42"/>
        <v>935.36699999999996</v>
      </c>
      <c r="X86" s="306">
        <f>SUM(X87:X91)</f>
        <v>1858.7839999999999</v>
      </c>
      <c r="Y86" s="41">
        <f t="shared" si="26"/>
        <v>1870.7339999999999</v>
      </c>
      <c r="Z86" s="250">
        <f t="shared" si="34"/>
        <v>1420.7914199834845</v>
      </c>
      <c r="AA86" s="174">
        <f t="shared" si="35"/>
        <v>538.84120000000007</v>
      </c>
      <c r="AB86" s="252"/>
      <c r="AD86" s="252"/>
    </row>
    <row r="87" spans="1:31" s="117" customFormat="1" ht="9.9499999999999993" customHeight="1" x14ac:dyDescent="0.15">
      <c r="A87" s="144" t="s">
        <v>382</v>
      </c>
      <c r="B87" s="134">
        <v>0.05</v>
      </c>
      <c r="C87" s="145">
        <f t="shared" si="29"/>
        <v>16.569307547481426</v>
      </c>
      <c r="D87" s="196">
        <f t="shared" si="30"/>
        <v>16569.307547481425</v>
      </c>
      <c r="E87" s="274">
        <v>2141.5</v>
      </c>
      <c r="F87" s="304">
        <f t="shared" si="36"/>
        <v>14.2995</v>
      </c>
      <c r="G87" s="334">
        <f t="shared" si="37"/>
        <v>7149.75</v>
      </c>
      <c r="H87" s="335">
        <f t="shared" si="38"/>
        <v>28599</v>
      </c>
      <c r="I87" s="200"/>
      <c r="J87" s="307">
        <f t="shared" si="40"/>
        <v>28.599</v>
      </c>
      <c r="K87" s="43">
        <f t="shared" si="20"/>
        <v>28.599</v>
      </c>
      <c r="L87" s="200">
        <v>28599</v>
      </c>
      <c r="M87" s="196">
        <f>T87/1000*-1</f>
        <v>0</v>
      </c>
      <c r="N87" s="36"/>
      <c r="O87" s="407">
        <f t="shared" si="31"/>
        <v>0</v>
      </c>
      <c r="P87" s="408">
        <f t="shared" si="32"/>
        <v>0</v>
      </c>
      <c r="Q87" s="308">
        <f t="shared" si="33"/>
        <v>0</v>
      </c>
      <c r="R87" s="43">
        <f t="shared" si="41"/>
        <v>0</v>
      </c>
      <c r="S87" s="200"/>
      <c r="T87" s="266"/>
      <c r="U87" s="227">
        <f t="shared" ref="U87:U168" si="43">$U$12/$B$12*B87</f>
        <v>14427.807547481425</v>
      </c>
      <c r="V87" s="36">
        <f t="shared" si="39"/>
        <v>16.569307547481426</v>
      </c>
      <c r="W87" s="36">
        <f t="shared" si="42"/>
        <v>14.2995</v>
      </c>
      <c r="X87" s="248">
        <f t="shared" si="26"/>
        <v>28.599</v>
      </c>
      <c r="Y87" s="43">
        <f t="shared" si="26"/>
        <v>28.599</v>
      </c>
      <c r="Z87" s="250">
        <f t="shared" si="34"/>
        <v>12.029692452518574</v>
      </c>
      <c r="AA87" s="174">
        <f t="shared" si="35"/>
        <v>0</v>
      </c>
      <c r="AB87" s="252"/>
      <c r="AD87" s="252"/>
    </row>
    <row r="88" spans="1:31" s="117" customFormat="1" ht="9.9499999999999993" customHeight="1" x14ac:dyDescent="0.15">
      <c r="A88" s="144" t="s">
        <v>384</v>
      </c>
      <c r="B88" s="134">
        <v>1</v>
      </c>
      <c r="C88" s="145">
        <f t="shared" si="29"/>
        <v>380.6995409496285</v>
      </c>
      <c r="D88" s="196">
        <f t="shared" si="30"/>
        <v>380699.54094962851</v>
      </c>
      <c r="E88" s="274">
        <f>134869.64-42726.25</f>
        <v>92143.390000000014</v>
      </c>
      <c r="F88" s="304">
        <f t="shared" si="36"/>
        <v>348.48750000000001</v>
      </c>
      <c r="G88" s="334">
        <f t="shared" si="37"/>
        <v>174243.75</v>
      </c>
      <c r="H88" s="335">
        <f t="shared" si="38"/>
        <v>571975</v>
      </c>
      <c r="I88" s="200">
        <v>125000</v>
      </c>
      <c r="J88" s="307">
        <v>737</v>
      </c>
      <c r="K88" s="43">
        <f t="shared" si="20"/>
        <v>696.97500000000002</v>
      </c>
      <c r="L88" s="200">
        <v>696975</v>
      </c>
      <c r="M88" s="196">
        <f>T88/1000*-1</f>
        <v>-141.15879999999999</v>
      </c>
      <c r="N88" s="36"/>
      <c r="O88" s="407">
        <f>Q88/2</f>
        <v>-130</v>
      </c>
      <c r="P88" s="408">
        <f t="shared" si="32"/>
        <v>165000</v>
      </c>
      <c r="Q88" s="308">
        <v>-260</v>
      </c>
      <c r="R88" s="43">
        <f t="shared" si="41"/>
        <v>-220</v>
      </c>
      <c r="S88" s="200">
        <v>220000</v>
      </c>
      <c r="T88" s="266">
        <f>55000+84450+1708.8</f>
        <v>141158.79999999999</v>
      </c>
      <c r="U88" s="227">
        <f t="shared" si="43"/>
        <v>288556.1509496285</v>
      </c>
      <c r="V88" s="36">
        <f t="shared" si="39"/>
        <v>239.54074094962851</v>
      </c>
      <c r="W88" s="36">
        <f t="shared" si="42"/>
        <v>218.48750000000001</v>
      </c>
      <c r="X88" s="248">
        <f t="shared" ref="X88:Y107" si="44">J88+Q88</f>
        <v>477</v>
      </c>
      <c r="Y88" s="43">
        <f t="shared" si="44"/>
        <v>476.97500000000002</v>
      </c>
      <c r="Z88" s="250">
        <f t="shared" si="34"/>
        <v>356.3004590503715</v>
      </c>
      <c r="AA88" s="174">
        <f t="shared" si="35"/>
        <v>118.84120000000001</v>
      </c>
      <c r="AB88" s="252"/>
      <c r="AD88" s="252"/>
    </row>
    <row r="89" spans="1:31" s="117" customFormat="1" ht="9.9499999999999993" customHeight="1" x14ac:dyDescent="0.15">
      <c r="A89" s="144" t="s">
        <v>431</v>
      </c>
      <c r="B89" s="134">
        <v>0.8</v>
      </c>
      <c r="C89" s="145">
        <f t="shared" si="29"/>
        <v>231.5846207597028</v>
      </c>
      <c r="D89" s="196">
        <f t="shared" si="30"/>
        <v>231584.62075970281</v>
      </c>
      <c r="E89" s="274">
        <f>739.7</f>
        <v>739.7</v>
      </c>
      <c r="F89" s="304">
        <f t="shared" si="36"/>
        <v>228.79</v>
      </c>
      <c r="G89" s="334">
        <f t="shared" si="37"/>
        <v>114395</v>
      </c>
      <c r="H89" s="335">
        <f t="shared" si="38"/>
        <v>457580</v>
      </c>
      <c r="I89" s="200"/>
      <c r="J89" s="307">
        <v>480</v>
      </c>
      <c r="K89" s="43">
        <f t="shared" si="20"/>
        <v>457.58</v>
      </c>
      <c r="L89" s="200">
        <v>457580</v>
      </c>
      <c r="M89" s="196">
        <f>T89/1000*-1</f>
        <v>0</v>
      </c>
      <c r="N89" s="36"/>
      <c r="O89" s="407">
        <f t="shared" si="31"/>
        <v>0</v>
      </c>
      <c r="P89" s="408">
        <f t="shared" si="32"/>
        <v>0</v>
      </c>
      <c r="Q89" s="308">
        <f t="shared" si="33"/>
        <v>0</v>
      </c>
      <c r="R89" s="43">
        <f t="shared" si="41"/>
        <v>0</v>
      </c>
      <c r="S89" s="200"/>
      <c r="T89" s="266"/>
      <c r="U89" s="227">
        <f t="shared" si="43"/>
        <v>230844.9207597028</v>
      </c>
      <c r="V89" s="36">
        <f t="shared" si="39"/>
        <v>231.5846207597028</v>
      </c>
      <c r="W89" s="36">
        <f t="shared" si="42"/>
        <v>228.79</v>
      </c>
      <c r="X89" s="248">
        <f t="shared" si="44"/>
        <v>480</v>
      </c>
      <c r="Y89" s="43">
        <f t="shared" si="44"/>
        <v>457.58</v>
      </c>
      <c r="Z89" s="250">
        <f t="shared" si="34"/>
        <v>248.4153792402972</v>
      </c>
      <c r="AA89" s="174">
        <f t="shared" si="35"/>
        <v>0</v>
      </c>
      <c r="AB89" s="252"/>
      <c r="AD89" s="252"/>
    </row>
    <row r="90" spans="1:31" s="117" customFormat="1" ht="9.9499999999999993" customHeight="1" x14ac:dyDescent="0.15">
      <c r="A90" s="144" t="s">
        <v>385</v>
      </c>
      <c r="B90" s="134">
        <v>0.6</v>
      </c>
      <c r="C90" s="145">
        <f t="shared" si="29"/>
        <v>221.01639056977712</v>
      </c>
      <c r="D90" s="196">
        <f t="shared" si="30"/>
        <v>221016.39056977711</v>
      </c>
      <c r="E90" s="274">
        <f>5156.45+42726.25</f>
        <v>47882.7</v>
      </c>
      <c r="F90" s="304">
        <f t="shared" si="36"/>
        <v>341.59249999999997</v>
      </c>
      <c r="G90" s="334">
        <f t="shared" si="37"/>
        <v>170796.25</v>
      </c>
      <c r="H90" s="335">
        <f t="shared" si="38"/>
        <v>343185</v>
      </c>
      <c r="I90" s="200">
        <v>340000</v>
      </c>
      <c r="J90" s="307">
        <f t="shared" si="40"/>
        <v>683.18499999999995</v>
      </c>
      <c r="K90" s="43">
        <f t="shared" si="20"/>
        <v>683.18499999999995</v>
      </c>
      <c r="L90" s="200">
        <v>683185</v>
      </c>
      <c r="M90" s="196">
        <f t="shared" ref="M90:M157" si="45">T90/1000*-1</f>
        <v>0</v>
      </c>
      <c r="N90" s="36"/>
      <c r="O90" s="407">
        <f>R90/2</f>
        <v>-210</v>
      </c>
      <c r="P90" s="408">
        <f t="shared" si="32"/>
        <v>315000</v>
      </c>
      <c r="Q90" s="308">
        <f t="shared" si="33"/>
        <v>-420</v>
      </c>
      <c r="R90" s="43">
        <f t="shared" si="41"/>
        <v>-420</v>
      </c>
      <c r="S90" s="200">
        <v>420000</v>
      </c>
      <c r="T90" s="266"/>
      <c r="U90" s="227">
        <f t="shared" si="43"/>
        <v>173133.6905697771</v>
      </c>
      <c r="V90" s="36">
        <f t="shared" si="39"/>
        <v>221.01639056977712</v>
      </c>
      <c r="W90" s="36">
        <f t="shared" si="42"/>
        <v>131.59249999999997</v>
      </c>
      <c r="X90" s="248">
        <f t="shared" si="44"/>
        <v>263.18499999999995</v>
      </c>
      <c r="Y90" s="43">
        <f t="shared" si="44"/>
        <v>263.18499999999995</v>
      </c>
      <c r="Z90" s="250">
        <f t="shared" si="34"/>
        <v>462.16860943022283</v>
      </c>
      <c r="AA90" s="174">
        <f t="shared" si="35"/>
        <v>420</v>
      </c>
      <c r="AB90" s="252"/>
      <c r="AD90" s="252"/>
    </row>
    <row r="91" spans="1:31" s="117" customFormat="1" ht="9.9499999999999993" customHeight="1" x14ac:dyDescent="0.15">
      <c r="A91" s="144" t="s">
        <v>386</v>
      </c>
      <c r="B91" s="134">
        <v>0.2</v>
      </c>
      <c r="C91" s="145">
        <f t="shared" si="29"/>
        <v>268.1227201899257</v>
      </c>
      <c r="D91" s="196">
        <f t="shared" si="30"/>
        <v>268122.72018992569</v>
      </c>
      <c r="E91" s="274">
        <f>191143.72+19267.77</f>
        <v>210411.49</v>
      </c>
      <c r="F91" s="304">
        <f t="shared" si="36"/>
        <v>322.19749999999999</v>
      </c>
      <c r="G91" s="334">
        <f t="shared" si="37"/>
        <v>161098.75</v>
      </c>
      <c r="H91" s="335">
        <f t="shared" si="38"/>
        <v>114395</v>
      </c>
      <c r="I91" s="200">
        <v>530000</v>
      </c>
      <c r="J91" s="307">
        <v>610</v>
      </c>
      <c r="K91" s="43">
        <f t="shared" si="20"/>
        <v>644.39499999999998</v>
      </c>
      <c r="L91" s="200">
        <v>644395</v>
      </c>
      <c r="M91" s="196">
        <f t="shared" si="45"/>
        <v>0</v>
      </c>
      <c r="N91" s="36"/>
      <c r="O91" s="407">
        <f t="shared" si="31"/>
        <v>0</v>
      </c>
      <c r="P91" s="408">
        <f t="shared" si="32"/>
        <v>0</v>
      </c>
      <c r="Q91" s="308">
        <f t="shared" si="33"/>
        <v>0</v>
      </c>
      <c r="R91" s="43">
        <f t="shared" si="41"/>
        <v>0</v>
      </c>
      <c r="S91" s="200"/>
      <c r="T91" s="266"/>
      <c r="U91" s="227">
        <f t="shared" si="43"/>
        <v>57711.2301899257</v>
      </c>
      <c r="V91" s="36">
        <f t="shared" si="39"/>
        <v>268.1227201899257</v>
      </c>
      <c r="W91" s="36">
        <f t="shared" si="42"/>
        <v>322.19749999999999</v>
      </c>
      <c r="X91" s="248">
        <f t="shared" si="44"/>
        <v>610</v>
      </c>
      <c r="Y91" s="43">
        <f t="shared" si="44"/>
        <v>644.39499999999998</v>
      </c>
      <c r="Z91" s="250">
        <f t="shared" si="34"/>
        <v>341.8772798100743</v>
      </c>
      <c r="AA91" s="174">
        <f t="shared" si="35"/>
        <v>0</v>
      </c>
      <c r="AB91" s="252"/>
      <c r="AD91" s="252"/>
      <c r="AE91" s="386"/>
    </row>
    <row r="92" spans="1:31" s="117" customFormat="1" ht="9.9499999999999993" hidden="1" customHeight="1" x14ac:dyDescent="0.15">
      <c r="A92" s="144"/>
      <c r="B92" s="134"/>
      <c r="C92" s="145">
        <f t="shared" si="29"/>
        <v>0</v>
      </c>
      <c r="D92" s="191">
        <f t="shared" si="30"/>
        <v>0</v>
      </c>
      <c r="E92" s="274"/>
      <c r="F92" s="304">
        <f t="shared" si="36"/>
        <v>0</v>
      </c>
      <c r="G92" s="258">
        <f t="shared" si="37"/>
        <v>0</v>
      </c>
      <c r="H92" s="246">
        <f t="shared" si="38"/>
        <v>0</v>
      </c>
      <c r="I92" s="198">
        <f t="shared" si="27"/>
        <v>0</v>
      </c>
      <c r="J92" s="305">
        <f t="shared" si="40"/>
        <v>0</v>
      </c>
      <c r="K92" s="43">
        <f t="shared" si="20"/>
        <v>0</v>
      </c>
      <c r="L92" s="200"/>
      <c r="M92" s="196">
        <f t="shared" si="45"/>
        <v>0</v>
      </c>
      <c r="N92" s="36"/>
      <c r="O92" s="405">
        <f t="shared" si="31"/>
        <v>0</v>
      </c>
      <c r="P92" s="406">
        <f t="shared" si="32"/>
        <v>0</v>
      </c>
      <c r="Q92" s="309">
        <f t="shared" si="33"/>
        <v>0</v>
      </c>
      <c r="R92" s="43">
        <f t="shared" si="41"/>
        <v>0</v>
      </c>
      <c r="S92" s="200"/>
      <c r="T92" s="266"/>
      <c r="U92" s="227">
        <f t="shared" si="43"/>
        <v>0</v>
      </c>
      <c r="V92" s="36">
        <f t="shared" si="39"/>
        <v>0</v>
      </c>
      <c r="W92" s="36">
        <f t="shared" si="42"/>
        <v>0</v>
      </c>
      <c r="X92" s="248">
        <f t="shared" si="44"/>
        <v>0</v>
      </c>
      <c r="Y92" s="43">
        <f t="shared" si="44"/>
        <v>0</v>
      </c>
      <c r="Z92" s="250">
        <f t="shared" si="34"/>
        <v>0</v>
      </c>
      <c r="AA92" s="174">
        <f t="shared" si="35"/>
        <v>0</v>
      </c>
      <c r="AB92" s="252"/>
      <c r="AD92" s="252"/>
    </row>
    <row r="93" spans="1:31" s="117" customFormat="1" ht="9.9499999999999993" hidden="1" customHeight="1" x14ac:dyDescent="0.15">
      <c r="A93" s="144"/>
      <c r="B93" s="134"/>
      <c r="C93" s="145">
        <f t="shared" si="29"/>
        <v>0</v>
      </c>
      <c r="D93" s="191">
        <f t="shared" si="30"/>
        <v>0</v>
      </c>
      <c r="E93" s="274"/>
      <c r="F93" s="304">
        <f t="shared" si="36"/>
        <v>0</v>
      </c>
      <c r="G93" s="258">
        <f t="shared" si="37"/>
        <v>0</v>
      </c>
      <c r="H93" s="246">
        <f t="shared" si="38"/>
        <v>0</v>
      </c>
      <c r="I93" s="198">
        <f t="shared" si="27"/>
        <v>0</v>
      </c>
      <c r="J93" s="305">
        <f t="shared" si="40"/>
        <v>0</v>
      </c>
      <c r="K93" s="43">
        <f t="shared" si="20"/>
        <v>0</v>
      </c>
      <c r="L93" s="200"/>
      <c r="M93" s="196">
        <f t="shared" si="45"/>
        <v>0</v>
      </c>
      <c r="N93" s="36"/>
      <c r="O93" s="405">
        <f t="shared" si="31"/>
        <v>0</v>
      </c>
      <c r="P93" s="406">
        <f t="shared" si="32"/>
        <v>0</v>
      </c>
      <c r="Q93" s="309">
        <f t="shared" si="33"/>
        <v>0</v>
      </c>
      <c r="R93" s="43">
        <f t="shared" si="41"/>
        <v>0</v>
      </c>
      <c r="S93" s="200"/>
      <c r="T93" s="266"/>
      <c r="U93" s="227">
        <f t="shared" si="43"/>
        <v>0</v>
      </c>
      <c r="V93" s="36">
        <f t="shared" si="39"/>
        <v>0</v>
      </c>
      <c r="W93" s="36">
        <f t="shared" si="42"/>
        <v>0</v>
      </c>
      <c r="X93" s="248">
        <f t="shared" si="44"/>
        <v>0</v>
      </c>
      <c r="Y93" s="43">
        <f t="shared" si="44"/>
        <v>0</v>
      </c>
      <c r="Z93" s="250">
        <f t="shared" si="34"/>
        <v>0</v>
      </c>
      <c r="AA93" s="174">
        <f t="shared" si="35"/>
        <v>0</v>
      </c>
      <c r="AB93" s="252"/>
      <c r="AD93" s="252"/>
    </row>
    <row r="94" spans="1:31" s="117" customFormat="1" ht="9.9499999999999993" hidden="1" customHeight="1" x14ac:dyDescent="0.15">
      <c r="A94" s="144"/>
      <c r="B94" s="134"/>
      <c r="C94" s="145"/>
      <c r="D94" s="191"/>
      <c r="E94" s="274"/>
      <c r="F94" s="304">
        <f t="shared" si="36"/>
        <v>0</v>
      </c>
      <c r="G94" s="258"/>
      <c r="H94" s="246"/>
      <c r="I94" s="198">
        <f t="shared" si="27"/>
        <v>0</v>
      </c>
      <c r="J94" s="305">
        <f t="shared" si="40"/>
        <v>0</v>
      </c>
      <c r="K94" s="43"/>
      <c r="L94" s="200"/>
      <c r="M94" s="196"/>
      <c r="N94" s="36"/>
      <c r="O94" s="405">
        <f t="shared" si="31"/>
        <v>0</v>
      </c>
      <c r="P94" s="406"/>
      <c r="Q94" s="309">
        <f t="shared" si="33"/>
        <v>0</v>
      </c>
      <c r="R94" s="43"/>
      <c r="S94" s="200"/>
      <c r="T94" s="266"/>
      <c r="U94" s="227"/>
      <c r="V94" s="36"/>
      <c r="W94" s="36"/>
      <c r="X94" s="248"/>
      <c r="Y94" s="43"/>
      <c r="Z94" s="250">
        <f t="shared" si="34"/>
        <v>0</v>
      </c>
      <c r="AA94" s="174">
        <f t="shared" si="35"/>
        <v>0</v>
      </c>
      <c r="AB94" s="252"/>
      <c r="AD94" s="252"/>
    </row>
    <row r="95" spans="1:31" s="117" customFormat="1" ht="9.9499999999999993" hidden="1" customHeight="1" x14ac:dyDescent="0.15">
      <c r="A95" s="144"/>
      <c r="B95" s="134"/>
      <c r="C95" s="145">
        <f t="shared" ref="C95:C118" si="46">D95/1000</f>
        <v>0</v>
      </c>
      <c r="D95" s="41">
        <f t="shared" si="30"/>
        <v>0</v>
      </c>
      <c r="E95" s="274"/>
      <c r="F95" s="304">
        <f t="shared" si="36"/>
        <v>0</v>
      </c>
      <c r="G95" s="258">
        <f t="shared" si="37"/>
        <v>0</v>
      </c>
      <c r="H95" s="246">
        <f t="shared" si="38"/>
        <v>0</v>
      </c>
      <c r="I95" s="198">
        <f t="shared" si="27"/>
        <v>0</v>
      </c>
      <c r="J95" s="305">
        <f t="shared" si="40"/>
        <v>0</v>
      </c>
      <c r="K95" s="41">
        <f t="shared" si="20"/>
        <v>0</v>
      </c>
      <c r="L95" s="200"/>
      <c r="M95" s="195">
        <f t="shared" si="45"/>
        <v>0</v>
      </c>
      <c r="N95" s="36"/>
      <c r="O95" s="405">
        <f t="shared" si="31"/>
        <v>0</v>
      </c>
      <c r="P95" s="406">
        <f t="shared" si="32"/>
        <v>0</v>
      </c>
      <c r="Q95" s="309">
        <f t="shared" si="33"/>
        <v>0</v>
      </c>
      <c r="R95" s="43">
        <f t="shared" si="41"/>
        <v>0</v>
      </c>
      <c r="S95" s="200"/>
      <c r="T95" s="266"/>
      <c r="U95" s="210">
        <f t="shared" si="43"/>
        <v>0</v>
      </c>
      <c r="V95" s="36">
        <f t="shared" si="39"/>
        <v>0</v>
      </c>
      <c r="W95" s="36">
        <f t="shared" si="42"/>
        <v>0</v>
      </c>
      <c r="X95" s="248">
        <f t="shared" si="44"/>
        <v>0</v>
      </c>
      <c r="Y95" s="43">
        <f t="shared" si="44"/>
        <v>0</v>
      </c>
      <c r="Z95" s="250">
        <f t="shared" si="34"/>
        <v>0</v>
      </c>
      <c r="AA95" s="174">
        <f t="shared" si="35"/>
        <v>0</v>
      </c>
      <c r="AB95" s="252"/>
      <c r="AD95" s="252"/>
    </row>
    <row r="96" spans="1:31" s="117" customFormat="1" ht="9.9499999999999993" hidden="1" customHeight="1" x14ac:dyDescent="0.15">
      <c r="A96" s="144"/>
      <c r="B96" s="134"/>
      <c r="C96" s="145">
        <f t="shared" si="46"/>
        <v>0</v>
      </c>
      <c r="D96" s="41">
        <f t="shared" si="30"/>
        <v>0</v>
      </c>
      <c r="E96" s="274"/>
      <c r="F96" s="304">
        <f t="shared" si="36"/>
        <v>0</v>
      </c>
      <c r="G96" s="258">
        <f t="shared" si="37"/>
        <v>0</v>
      </c>
      <c r="H96" s="246">
        <f t="shared" si="38"/>
        <v>0</v>
      </c>
      <c r="I96" s="198">
        <f t="shared" si="27"/>
        <v>0</v>
      </c>
      <c r="J96" s="305">
        <f t="shared" si="40"/>
        <v>0</v>
      </c>
      <c r="K96" s="41">
        <f t="shared" si="20"/>
        <v>0</v>
      </c>
      <c r="L96" s="200"/>
      <c r="M96" s="195">
        <f t="shared" si="45"/>
        <v>0</v>
      </c>
      <c r="N96" s="36"/>
      <c r="O96" s="405">
        <f t="shared" si="31"/>
        <v>0</v>
      </c>
      <c r="P96" s="406">
        <f t="shared" si="32"/>
        <v>0</v>
      </c>
      <c r="Q96" s="309">
        <f t="shared" si="33"/>
        <v>0</v>
      </c>
      <c r="R96" s="43">
        <f t="shared" si="41"/>
        <v>0</v>
      </c>
      <c r="S96" s="200"/>
      <c r="T96" s="266"/>
      <c r="U96" s="210">
        <f t="shared" si="43"/>
        <v>0</v>
      </c>
      <c r="V96" s="36">
        <f t="shared" si="39"/>
        <v>0</v>
      </c>
      <c r="W96" s="36">
        <f t="shared" si="42"/>
        <v>0</v>
      </c>
      <c r="X96" s="248">
        <f t="shared" si="44"/>
        <v>0</v>
      </c>
      <c r="Y96" s="43">
        <f t="shared" si="44"/>
        <v>0</v>
      </c>
      <c r="Z96" s="250">
        <f t="shared" si="34"/>
        <v>0</v>
      </c>
      <c r="AA96" s="174">
        <f t="shared" si="35"/>
        <v>0</v>
      </c>
      <c r="AB96" s="252"/>
      <c r="AD96" s="252"/>
    </row>
    <row r="97" spans="1:31" s="117" customFormat="1" ht="9.9499999999999993" hidden="1" customHeight="1" x14ac:dyDescent="0.15">
      <c r="A97" s="144"/>
      <c r="B97" s="134"/>
      <c r="C97" s="145">
        <f t="shared" si="46"/>
        <v>0</v>
      </c>
      <c r="D97" s="41">
        <f t="shared" si="30"/>
        <v>0</v>
      </c>
      <c r="E97" s="274"/>
      <c r="F97" s="304">
        <f t="shared" si="36"/>
        <v>0</v>
      </c>
      <c r="G97" s="258">
        <f t="shared" si="37"/>
        <v>0</v>
      </c>
      <c r="H97" s="246">
        <f t="shared" si="38"/>
        <v>0</v>
      </c>
      <c r="I97" s="198">
        <f t="shared" si="27"/>
        <v>0</v>
      </c>
      <c r="J97" s="305">
        <f t="shared" si="40"/>
        <v>0</v>
      </c>
      <c r="K97" s="41">
        <f t="shared" si="20"/>
        <v>0</v>
      </c>
      <c r="L97" s="200"/>
      <c r="M97" s="195">
        <f t="shared" si="45"/>
        <v>0</v>
      </c>
      <c r="N97" s="36"/>
      <c r="O97" s="405">
        <f t="shared" si="31"/>
        <v>0</v>
      </c>
      <c r="P97" s="406">
        <f t="shared" si="32"/>
        <v>0</v>
      </c>
      <c r="Q97" s="309">
        <f t="shared" si="33"/>
        <v>0</v>
      </c>
      <c r="R97" s="43">
        <f t="shared" si="41"/>
        <v>0</v>
      </c>
      <c r="S97" s="200"/>
      <c r="T97" s="266"/>
      <c r="U97" s="210">
        <f t="shared" si="43"/>
        <v>0</v>
      </c>
      <c r="V97" s="36">
        <f t="shared" si="39"/>
        <v>0</v>
      </c>
      <c r="W97" s="36">
        <f t="shared" si="42"/>
        <v>0</v>
      </c>
      <c r="X97" s="248">
        <f t="shared" si="44"/>
        <v>0</v>
      </c>
      <c r="Y97" s="43">
        <f t="shared" si="44"/>
        <v>0</v>
      </c>
      <c r="Z97" s="250">
        <f t="shared" si="34"/>
        <v>0</v>
      </c>
      <c r="AA97" s="174">
        <f t="shared" si="35"/>
        <v>0</v>
      </c>
      <c r="AB97" s="252"/>
      <c r="AD97" s="252"/>
    </row>
    <row r="98" spans="1:31" s="117" customFormat="1" ht="9.9499999999999993" hidden="1" customHeight="1" x14ac:dyDescent="0.15">
      <c r="A98" s="144"/>
      <c r="B98" s="134"/>
      <c r="C98" s="145">
        <f t="shared" si="46"/>
        <v>0</v>
      </c>
      <c r="D98" s="41">
        <f t="shared" si="30"/>
        <v>0</v>
      </c>
      <c r="E98" s="274"/>
      <c r="F98" s="304">
        <f t="shared" si="36"/>
        <v>0</v>
      </c>
      <c r="G98" s="258">
        <f t="shared" si="37"/>
        <v>0</v>
      </c>
      <c r="H98" s="246">
        <f t="shared" si="38"/>
        <v>0</v>
      </c>
      <c r="I98" s="198">
        <f t="shared" si="27"/>
        <v>0</v>
      </c>
      <c r="J98" s="305">
        <f t="shared" si="40"/>
        <v>0</v>
      </c>
      <c r="K98" s="41">
        <f t="shared" si="20"/>
        <v>0</v>
      </c>
      <c r="L98" s="200"/>
      <c r="M98" s="195">
        <f t="shared" si="45"/>
        <v>0</v>
      </c>
      <c r="N98" s="36"/>
      <c r="O98" s="405">
        <f t="shared" si="31"/>
        <v>0</v>
      </c>
      <c r="P98" s="406">
        <f t="shared" si="32"/>
        <v>0</v>
      </c>
      <c r="Q98" s="309">
        <f t="shared" si="33"/>
        <v>0</v>
      </c>
      <c r="R98" s="43">
        <f t="shared" si="41"/>
        <v>0</v>
      </c>
      <c r="S98" s="200"/>
      <c r="T98" s="266"/>
      <c r="U98" s="210">
        <f t="shared" si="43"/>
        <v>0</v>
      </c>
      <c r="V98" s="36">
        <f t="shared" si="39"/>
        <v>0</v>
      </c>
      <c r="W98" s="36">
        <f t="shared" si="42"/>
        <v>0</v>
      </c>
      <c r="X98" s="248">
        <f t="shared" si="44"/>
        <v>0</v>
      </c>
      <c r="Y98" s="43">
        <f t="shared" si="44"/>
        <v>0</v>
      </c>
      <c r="Z98" s="250">
        <f t="shared" si="34"/>
        <v>0</v>
      </c>
      <c r="AA98" s="174">
        <f t="shared" si="35"/>
        <v>0</v>
      </c>
      <c r="AB98" s="252"/>
      <c r="AD98" s="252"/>
    </row>
    <row r="99" spans="1:31" s="117" customFormat="1" ht="9.9499999999999993" hidden="1" customHeight="1" x14ac:dyDescent="0.15">
      <c r="A99" s="144"/>
      <c r="B99" s="134"/>
      <c r="C99" s="145">
        <f t="shared" si="46"/>
        <v>0</v>
      </c>
      <c r="D99" s="41">
        <f t="shared" si="30"/>
        <v>0</v>
      </c>
      <c r="E99" s="274"/>
      <c r="F99" s="304">
        <f t="shared" si="36"/>
        <v>0</v>
      </c>
      <c r="G99" s="258">
        <f t="shared" si="37"/>
        <v>0</v>
      </c>
      <c r="H99" s="246">
        <f t="shared" si="38"/>
        <v>0</v>
      </c>
      <c r="I99" s="198">
        <f t="shared" si="27"/>
        <v>0</v>
      </c>
      <c r="J99" s="305">
        <f t="shared" si="40"/>
        <v>0</v>
      </c>
      <c r="K99" s="41">
        <f t="shared" si="20"/>
        <v>0</v>
      </c>
      <c r="L99" s="200"/>
      <c r="M99" s="195">
        <f t="shared" si="45"/>
        <v>0</v>
      </c>
      <c r="N99" s="36"/>
      <c r="O99" s="405">
        <f t="shared" si="31"/>
        <v>0</v>
      </c>
      <c r="P99" s="406">
        <f t="shared" si="32"/>
        <v>0</v>
      </c>
      <c r="Q99" s="309">
        <f t="shared" si="33"/>
        <v>0</v>
      </c>
      <c r="R99" s="43">
        <f t="shared" si="41"/>
        <v>0</v>
      </c>
      <c r="S99" s="200"/>
      <c r="T99" s="266"/>
      <c r="U99" s="210">
        <f t="shared" si="43"/>
        <v>0</v>
      </c>
      <c r="V99" s="36">
        <f t="shared" si="39"/>
        <v>0</v>
      </c>
      <c r="W99" s="36">
        <f t="shared" si="42"/>
        <v>0</v>
      </c>
      <c r="X99" s="248">
        <f t="shared" si="44"/>
        <v>0</v>
      </c>
      <c r="Y99" s="43">
        <f t="shared" si="44"/>
        <v>0</v>
      </c>
      <c r="Z99" s="250">
        <f t="shared" si="34"/>
        <v>0</v>
      </c>
      <c r="AA99" s="174">
        <f t="shared" si="35"/>
        <v>0</v>
      </c>
      <c r="AB99" s="252"/>
      <c r="AD99" s="252"/>
    </row>
    <row r="100" spans="1:31" s="117" customFormat="1" ht="9.9499999999999993" hidden="1" customHeight="1" x14ac:dyDescent="0.15">
      <c r="A100" s="144"/>
      <c r="B100" s="134"/>
      <c r="C100" s="145">
        <f t="shared" si="46"/>
        <v>0</v>
      </c>
      <c r="D100" s="41">
        <f t="shared" si="30"/>
        <v>0</v>
      </c>
      <c r="E100" s="274"/>
      <c r="F100" s="304">
        <f t="shared" si="36"/>
        <v>0</v>
      </c>
      <c r="G100" s="258">
        <f t="shared" si="37"/>
        <v>0</v>
      </c>
      <c r="H100" s="246">
        <f t="shared" si="38"/>
        <v>0</v>
      </c>
      <c r="I100" s="198">
        <f t="shared" si="27"/>
        <v>0</v>
      </c>
      <c r="J100" s="305">
        <f t="shared" si="40"/>
        <v>0</v>
      </c>
      <c r="K100" s="41">
        <f t="shared" si="20"/>
        <v>0</v>
      </c>
      <c r="L100" s="200"/>
      <c r="M100" s="195">
        <f t="shared" si="45"/>
        <v>0</v>
      </c>
      <c r="N100" s="36"/>
      <c r="O100" s="405">
        <f t="shared" si="31"/>
        <v>0</v>
      </c>
      <c r="P100" s="406">
        <f t="shared" si="32"/>
        <v>0</v>
      </c>
      <c r="Q100" s="309">
        <f t="shared" si="33"/>
        <v>0</v>
      </c>
      <c r="R100" s="43">
        <f t="shared" si="41"/>
        <v>0</v>
      </c>
      <c r="S100" s="200"/>
      <c r="T100" s="266"/>
      <c r="U100" s="210">
        <f t="shared" si="43"/>
        <v>0</v>
      </c>
      <c r="V100" s="36">
        <f t="shared" si="39"/>
        <v>0</v>
      </c>
      <c r="W100" s="36">
        <f t="shared" si="42"/>
        <v>0</v>
      </c>
      <c r="X100" s="248">
        <f t="shared" si="44"/>
        <v>0</v>
      </c>
      <c r="Y100" s="43">
        <f t="shared" si="44"/>
        <v>0</v>
      </c>
      <c r="Z100" s="250">
        <f t="shared" si="34"/>
        <v>0</v>
      </c>
      <c r="AA100" s="174">
        <f t="shared" si="35"/>
        <v>0</v>
      </c>
      <c r="AB100" s="252"/>
      <c r="AD100" s="252"/>
    </row>
    <row r="101" spans="1:31" s="117" customFormat="1" ht="9.9499999999999993" hidden="1" customHeight="1" x14ac:dyDescent="0.15">
      <c r="A101" s="144"/>
      <c r="B101" s="134"/>
      <c r="C101" s="145">
        <f t="shared" si="46"/>
        <v>0</v>
      </c>
      <c r="D101" s="41">
        <f t="shared" si="30"/>
        <v>0</v>
      </c>
      <c r="E101" s="274"/>
      <c r="F101" s="304">
        <f t="shared" si="36"/>
        <v>0</v>
      </c>
      <c r="G101" s="258">
        <f t="shared" si="37"/>
        <v>0</v>
      </c>
      <c r="H101" s="246">
        <f t="shared" si="38"/>
        <v>0</v>
      </c>
      <c r="I101" s="198">
        <f t="shared" si="27"/>
        <v>0</v>
      </c>
      <c r="J101" s="305">
        <f t="shared" si="40"/>
        <v>0</v>
      </c>
      <c r="K101" s="41">
        <f t="shared" si="20"/>
        <v>0</v>
      </c>
      <c r="L101" s="200"/>
      <c r="M101" s="195">
        <f t="shared" si="45"/>
        <v>0</v>
      </c>
      <c r="N101" s="36"/>
      <c r="O101" s="405">
        <f t="shared" si="31"/>
        <v>0</v>
      </c>
      <c r="P101" s="406">
        <f t="shared" si="32"/>
        <v>0</v>
      </c>
      <c r="Q101" s="309">
        <f t="shared" si="33"/>
        <v>0</v>
      </c>
      <c r="R101" s="43">
        <f t="shared" si="41"/>
        <v>0</v>
      </c>
      <c r="S101" s="200"/>
      <c r="T101" s="266"/>
      <c r="U101" s="210">
        <f t="shared" si="43"/>
        <v>0</v>
      </c>
      <c r="V101" s="36">
        <f t="shared" si="39"/>
        <v>0</v>
      </c>
      <c r="W101" s="36">
        <f t="shared" si="42"/>
        <v>0</v>
      </c>
      <c r="X101" s="248">
        <f t="shared" si="44"/>
        <v>0</v>
      </c>
      <c r="Y101" s="43">
        <f t="shared" si="44"/>
        <v>0</v>
      </c>
      <c r="Z101" s="250">
        <f t="shared" si="34"/>
        <v>0</v>
      </c>
      <c r="AA101" s="174">
        <f t="shared" si="35"/>
        <v>0</v>
      </c>
      <c r="AB101" s="252"/>
      <c r="AD101" s="252"/>
    </row>
    <row r="102" spans="1:31" s="118" customFormat="1" ht="9.9499999999999993" customHeight="1" x14ac:dyDescent="0.15">
      <c r="A102" s="152" t="s">
        <v>387</v>
      </c>
      <c r="B102" s="125">
        <f>SUM(B103:B106)</f>
        <v>1.55</v>
      </c>
      <c r="C102" s="140">
        <f t="shared" si="46"/>
        <v>652.4724539719241</v>
      </c>
      <c r="D102" s="41">
        <f t="shared" si="30"/>
        <v>652472.45397192414</v>
      </c>
      <c r="E102" s="247">
        <f>SUM(E103:E106)</f>
        <v>205210.41999999998</v>
      </c>
      <c r="F102" s="301">
        <f t="shared" si="36"/>
        <v>663.28049999999996</v>
      </c>
      <c r="G102" s="258">
        <f t="shared" si="37"/>
        <v>331640.25</v>
      </c>
      <c r="H102" s="246">
        <f t="shared" si="38"/>
        <v>886561</v>
      </c>
      <c r="I102" s="198">
        <f>SUM(I103:I106)</f>
        <v>440000</v>
      </c>
      <c r="J102" s="305">
        <f>SUM(J103:J106)</f>
        <v>1239.1909999999998</v>
      </c>
      <c r="K102" s="41">
        <f>L102/1000</f>
        <v>1326.5609999999999</v>
      </c>
      <c r="L102" s="198">
        <f>SUM(L103:L106)</f>
        <v>1326561</v>
      </c>
      <c r="M102" s="195">
        <f t="shared" si="45"/>
        <v>-20</v>
      </c>
      <c r="N102" s="33">
        <f>SUM(N103:N106)</f>
        <v>0</v>
      </c>
      <c r="O102" s="405">
        <f t="shared" si="31"/>
        <v>0</v>
      </c>
      <c r="P102" s="406">
        <f t="shared" si="32"/>
        <v>0</v>
      </c>
      <c r="Q102" s="309">
        <v>-20</v>
      </c>
      <c r="R102" s="41">
        <f t="shared" si="41"/>
        <v>0</v>
      </c>
      <c r="S102" s="198">
        <f>SUM(S103:S106)</f>
        <v>0</v>
      </c>
      <c r="T102" s="198">
        <f>T103+T104+T105+T106</f>
        <v>20000</v>
      </c>
      <c r="U102" s="210">
        <f>SUM(U103:U106)</f>
        <v>447262.03397192416</v>
      </c>
      <c r="V102" s="33">
        <f t="shared" si="39"/>
        <v>632.4724539719241</v>
      </c>
      <c r="W102" s="33">
        <f t="shared" si="42"/>
        <v>663.28049999999996</v>
      </c>
      <c r="X102" s="306">
        <f>SUM(X103:X106)</f>
        <v>1219.1909999999998</v>
      </c>
      <c r="Y102" s="41">
        <f t="shared" si="44"/>
        <v>1326.5609999999999</v>
      </c>
      <c r="Z102" s="250">
        <f t="shared" si="34"/>
        <v>586.71854602807571</v>
      </c>
      <c r="AA102" s="174">
        <f t="shared" si="35"/>
        <v>0</v>
      </c>
      <c r="AB102" s="252"/>
      <c r="AD102" s="252"/>
    </row>
    <row r="103" spans="1:31" s="117" customFormat="1" ht="9.9499999999999993" customHeight="1" x14ac:dyDescent="0.15">
      <c r="A103" s="144" t="s">
        <v>388</v>
      </c>
      <c r="B103" s="134">
        <v>0.4</v>
      </c>
      <c r="C103" s="145">
        <f t="shared" si="46"/>
        <v>274.59228037985139</v>
      </c>
      <c r="D103" s="43">
        <f t="shared" si="30"/>
        <v>274592.28037985141</v>
      </c>
      <c r="E103" s="274">
        <f>6703.36+66601.67+45623.01+40241.78</f>
        <v>159169.82</v>
      </c>
      <c r="F103" s="304">
        <f t="shared" si="36"/>
        <v>254.39500000000001</v>
      </c>
      <c r="G103" s="334">
        <f t="shared" si="37"/>
        <v>127197.5</v>
      </c>
      <c r="H103" s="335">
        <f t="shared" si="38"/>
        <v>228790</v>
      </c>
      <c r="I103" s="200">
        <v>280000</v>
      </c>
      <c r="J103" s="307">
        <v>509</v>
      </c>
      <c r="K103" s="43">
        <f t="shared" si="20"/>
        <v>508.79</v>
      </c>
      <c r="L103" s="200">
        <v>508790</v>
      </c>
      <c r="M103" s="196">
        <f t="shared" si="45"/>
        <v>0</v>
      </c>
      <c r="N103" s="36"/>
      <c r="O103" s="407">
        <f t="shared" si="31"/>
        <v>0</v>
      </c>
      <c r="P103" s="408">
        <f t="shared" si="32"/>
        <v>0</v>
      </c>
      <c r="Q103" s="308">
        <f t="shared" si="33"/>
        <v>0</v>
      </c>
      <c r="R103" s="43">
        <f t="shared" si="41"/>
        <v>0</v>
      </c>
      <c r="S103" s="200">
        <v>0</v>
      </c>
      <c r="T103" s="266"/>
      <c r="U103" s="227">
        <f t="shared" si="43"/>
        <v>115422.4603798514</v>
      </c>
      <c r="V103" s="36">
        <f t="shared" si="39"/>
        <v>274.59228037985139</v>
      </c>
      <c r="W103" s="36">
        <f t="shared" si="42"/>
        <v>254.39500000000001</v>
      </c>
      <c r="X103" s="248">
        <f t="shared" si="44"/>
        <v>509</v>
      </c>
      <c r="Y103" s="43">
        <f t="shared" si="44"/>
        <v>508.79</v>
      </c>
      <c r="Z103" s="250">
        <f t="shared" si="34"/>
        <v>234.40771962014861</v>
      </c>
      <c r="AA103" s="174">
        <f t="shared" si="35"/>
        <v>0</v>
      </c>
      <c r="AB103" s="252"/>
      <c r="AD103" s="252"/>
    </row>
    <row r="104" spans="1:31" s="117" customFormat="1" ht="9.9499999999999993" customHeight="1" x14ac:dyDescent="0.15">
      <c r="A104" s="144" t="s">
        <v>389</v>
      </c>
      <c r="B104" s="134">
        <v>0.05</v>
      </c>
      <c r="C104" s="145">
        <f t="shared" si="46"/>
        <v>14.427807547481425</v>
      </c>
      <c r="D104" s="43">
        <f t="shared" si="30"/>
        <v>14427.807547481425</v>
      </c>
      <c r="E104" s="274"/>
      <c r="F104" s="304">
        <f t="shared" si="36"/>
        <v>14.298999999999999</v>
      </c>
      <c r="G104" s="334">
        <f t="shared" si="37"/>
        <v>7149.5</v>
      </c>
      <c r="H104" s="335">
        <f t="shared" si="38"/>
        <v>28598</v>
      </c>
      <c r="I104" s="200"/>
      <c r="J104" s="307">
        <f t="shared" si="40"/>
        <v>28.597999999999999</v>
      </c>
      <c r="K104" s="43">
        <f t="shared" si="20"/>
        <v>28.597999999999999</v>
      </c>
      <c r="L104" s="200">
        <f>28598</f>
        <v>28598</v>
      </c>
      <c r="M104" s="196">
        <f t="shared" si="45"/>
        <v>0</v>
      </c>
      <c r="N104" s="36"/>
      <c r="O104" s="407">
        <f t="shared" si="31"/>
        <v>0</v>
      </c>
      <c r="P104" s="408">
        <f t="shared" si="32"/>
        <v>0</v>
      </c>
      <c r="Q104" s="308">
        <f t="shared" si="33"/>
        <v>0</v>
      </c>
      <c r="R104" s="43">
        <f t="shared" si="41"/>
        <v>0</v>
      </c>
      <c r="S104" s="200"/>
      <c r="T104" s="266"/>
      <c r="U104" s="227">
        <f t="shared" si="43"/>
        <v>14427.807547481425</v>
      </c>
      <c r="V104" s="36">
        <f t="shared" si="39"/>
        <v>14.427807547481425</v>
      </c>
      <c r="W104" s="36">
        <f t="shared" si="42"/>
        <v>14.298999999999999</v>
      </c>
      <c r="X104" s="248">
        <f t="shared" si="44"/>
        <v>28.597999999999999</v>
      </c>
      <c r="Y104" s="43">
        <f t="shared" si="44"/>
        <v>28.597999999999999</v>
      </c>
      <c r="Z104" s="250">
        <f t="shared" si="34"/>
        <v>14.170192452518574</v>
      </c>
      <c r="AA104" s="174">
        <f t="shared" si="35"/>
        <v>0</v>
      </c>
      <c r="AB104" s="252"/>
      <c r="AD104" s="252"/>
    </row>
    <row r="105" spans="1:31" s="117" customFormat="1" ht="9.9499999999999993" customHeight="1" x14ac:dyDescent="0.15">
      <c r="A105" s="144" t="s">
        <v>390</v>
      </c>
      <c r="B105" s="134">
        <v>0.3</v>
      </c>
      <c r="C105" s="145">
        <f t="shared" si="46"/>
        <v>120.64451528488854</v>
      </c>
      <c r="D105" s="43">
        <f t="shared" si="30"/>
        <v>120644.51528488855</v>
      </c>
      <c r="E105" s="274">
        <f>20142.31+13935.36</f>
        <v>34077.67</v>
      </c>
      <c r="F105" s="304">
        <f t="shared" si="36"/>
        <v>110.79649999999999</v>
      </c>
      <c r="G105" s="334">
        <f t="shared" si="37"/>
        <v>55398.25</v>
      </c>
      <c r="H105" s="335">
        <f t="shared" si="38"/>
        <v>171593</v>
      </c>
      <c r="I105" s="200">
        <v>50000</v>
      </c>
      <c r="J105" s="307">
        <f t="shared" si="40"/>
        <v>221.59299999999999</v>
      </c>
      <c r="K105" s="43">
        <f t="shared" ref="K105:K177" si="47">L105/1000</f>
        <v>221.59299999999999</v>
      </c>
      <c r="L105" s="200">
        <f>221593</f>
        <v>221593</v>
      </c>
      <c r="M105" s="196">
        <f t="shared" si="45"/>
        <v>-20</v>
      </c>
      <c r="N105" s="36"/>
      <c r="O105" s="407">
        <f t="shared" si="31"/>
        <v>0</v>
      </c>
      <c r="P105" s="408">
        <f>S105/4*3</f>
        <v>0</v>
      </c>
      <c r="Q105" s="308">
        <f>M105</f>
        <v>-20</v>
      </c>
      <c r="R105" s="43">
        <f t="shared" si="41"/>
        <v>0</v>
      </c>
      <c r="S105" s="200"/>
      <c r="T105" s="266">
        <v>20000</v>
      </c>
      <c r="U105" s="227">
        <f t="shared" si="43"/>
        <v>86566.84528488855</v>
      </c>
      <c r="V105" s="36">
        <f>C105+M105</f>
        <v>100.64451528488854</v>
      </c>
      <c r="W105" s="36">
        <f t="shared" si="42"/>
        <v>110.79649999999999</v>
      </c>
      <c r="X105" s="248">
        <f t="shared" si="44"/>
        <v>201.59299999999999</v>
      </c>
      <c r="Y105" s="43">
        <f>K105+R105</f>
        <v>221.59299999999999</v>
      </c>
      <c r="Z105" s="250">
        <f t="shared" si="34"/>
        <v>100.94848471511145</v>
      </c>
      <c r="AA105" s="174">
        <f t="shared" si="35"/>
        <v>0</v>
      </c>
      <c r="AB105" s="252"/>
      <c r="AD105" s="252"/>
    </row>
    <row r="106" spans="1:31" s="117" customFormat="1" ht="9.9499999999999993" customHeight="1" x14ac:dyDescent="0.15">
      <c r="A106" s="144" t="s">
        <v>391</v>
      </c>
      <c r="B106" s="134">
        <v>0.8</v>
      </c>
      <c r="C106" s="145">
        <f t="shared" si="46"/>
        <v>242.8078507597028</v>
      </c>
      <c r="D106" s="43">
        <f t="shared" si="30"/>
        <v>242807.85075970279</v>
      </c>
      <c r="E106" s="274">
        <v>11962.93</v>
      </c>
      <c r="F106" s="304">
        <f t="shared" si="36"/>
        <v>283.79000000000002</v>
      </c>
      <c r="G106" s="334">
        <f t="shared" si="37"/>
        <v>141895</v>
      </c>
      <c r="H106" s="335">
        <f t="shared" si="38"/>
        <v>457580</v>
      </c>
      <c r="I106" s="200">
        <v>110000</v>
      </c>
      <c r="J106" s="307">
        <v>480</v>
      </c>
      <c r="K106" s="43">
        <f t="shared" si="47"/>
        <v>567.58000000000004</v>
      </c>
      <c r="L106" s="200">
        <v>567580</v>
      </c>
      <c r="M106" s="196">
        <f t="shared" si="45"/>
        <v>0</v>
      </c>
      <c r="N106" s="36"/>
      <c r="O106" s="407">
        <f t="shared" si="31"/>
        <v>0</v>
      </c>
      <c r="P106" s="408"/>
      <c r="Q106" s="308">
        <f t="shared" si="33"/>
        <v>0</v>
      </c>
      <c r="R106" s="43">
        <f t="shared" si="41"/>
        <v>0</v>
      </c>
      <c r="S106" s="200"/>
      <c r="T106" s="266"/>
      <c r="U106" s="227">
        <f t="shared" si="43"/>
        <v>230844.9207597028</v>
      </c>
      <c r="V106" s="36">
        <f t="shared" si="39"/>
        <v>242.8078507597028</v>
      </c>
      <c r="W106" s="36">
        <f t="shared" si="42"/>
        <v>283.79000000000002</v>
      </c>
      <c r="X106" s="248">
        <f t="shared" si="44"/>
        <v>480</v>
      </c>
      <c r="Y106" s="43">
        <f t="shared" si="44"/>
        <v>567.58000000000004</v>
      </c>
      <c r="Z106" s="250">
        <f t="shared" si="34"/>
        <v>237.1921492402972</v>
      </c>
      <c r="AA106" s="174"/>
      <c r="AB106" s="252"/>
      <c r="AD106" s="252"/>
      <c r="AE106" s="386"/>
    </row>
    <row r="107" spans="1:31" s="117" customFormat="1" ht="9.9499999999999993" hidden="1" customHeight="1" x14ac:dyDescent="0.15">
      <c r="A107" s="144"/>
      <c r="B107" s="134"/>
      <c r="C107" s="140">
        <f t="shared" si="46"/>
        <v>0</v>
      </c>
      <c r="D107" s="41">
        <f t="shared" si="30"/>
        <v>0</v>
      </c>
      <c r="E107" s="274"/>
      <c r="F107" s="304">
        <f t="shared" si="36"/>
        <v>0</v>
      </c>
      <c r="G107" s="258">
        <f t="shared" si="37"/>
        <v>0</v>
      </c>
      <c r="H107" s="246">
        <f t="shared" si="38"/>
        <v>0</v>
      </c>
      <c r="I107" s="198">
        <f t="shared" si="27"/>
        <v>0</v>
      </c>
      <c r="J107" s="305">
        <f t="shared" si="40"/>
        <v>0</v>
      </c>
      <c r="K107" s="43">
        <f t="shared" si="47"/>
        <v>0</v>
      </c>
      <c r="L107" s="200"/>
      <c r="M107" s="196">
        <f t="shared" si="45"/>
        <v>0</v>
      </c>
      <c r="N107" s="36"/>
      <c r="O107" s="405">
        <f t="shared" si="31"/>
        <v>0</v>
      </c>
      <c r="P107" s="406"/>
      <c r="Q107" s="309">
        <f t="shared" si="33"/>
        <v>0</v>
      </c>
      <c r="R107" s="43">
        <f t="shared" si="41"/>
        <v>0</v>
      </c>
      <c r="S107" s="200"/>
      <c r="T107" s="266"/>
      <c r="U107" s="227">
        <f t="shared" si="43"/>
        <v>0</v>
      </c>
      <c r="V107" s="36">
        <f t="shared" si="39"/>
        <v>0</v>
      </c>
      <c r="W107" s="36">
        <f t="shared" si="42"/>
        <v>0</v>
      </c>
      <c r="X107" s="248">
        <f t="shared" si="44"/>
        <v>0</v>
      </c>
      <c r="Y107" s="43">
        <f t="shared" si="44"/>
        <v>0</v>
      </c>
      <c r="Z107" s="250"/>
      <c r="AA107" s="174"/>
      <c r="AB107" s="252"/>
      <c r="AD107" s="252"/>
    </row>
    <row r="108" spans="1:31" s="117" customFormat="1" ht="9.9499999999999993" customHeight="1" x14ac:dyDescent="0.15">
      <c r="A108" s="152" t="s">
        <v>434</v>
      </c>
      <c r="B108" s="125">
        <f>SUM(B109:B113)</f>
        <v>2.2999999999999998</v>
      </c>
      <c r="C108" s="321">
        <f t="shared" si="46"/>
        <v>1079.4679271841458</v>
      </c>
      <c r="D108" s="212">
        <f t="shared" si="30"/>
        <v>1079467.9271841457</v>
      </c>
      <c r="E108" s="212">
        <f>E109+E111+E112+E113</f>
        <v>415788.78</v>
      </c>
      <c r="F108" s="301">
        <f t="shared" si="36"/>
        <v>1350.2715000000001</v>
      </c>
      <c r="G108" s="258">
        <f t="shared" si="37"/>
        <v>675135.75</v>
      </c>
      <c r="H108" s="246">
        <f t="shared" si="38"/>
        <v>2700543</v>
      </c>
      <c r="I108" s="376"/>
      <c r="J108" s="305">
        <f>SUM(J109:J113)</f>
        <v>2652.154</v>
      </c>
      <c r="K108" s="41">
        <f t="shared" si="47"/>
        <v>2700.5430000000001</v>
      </c>
      <c r="L108" s="323">
        <f>SUM(L109:L113)</f>
        <v>2700543</v>
      </c>
      <c r="M108" s="195">
        <f t="shared" si="45"/>
        <v>-56.595999999999997</v>
      </c>
      <c r="N108" s="212"/>
      <c r="O108" s="405">
        <f>R108/2</f>
        <v>-222.5</v>
      </c>
      <c r="P108" s="409"/>
      <c r="Q108" s="309">
        <f>SUM(Q109:Q113)</f>
        <v>-476.596</v>
      </c>
      <c r="R108" s="41">
        <f t="shared" si="41"/>
        <v>-445</v>
      </c>
      <c r="S108" s="212">
        <f>SUM(S109:S113)</f>
        <v>445000</v>
      </c>
      <c r="T108" s="212">
        <f>SUM(T109:T113)</f>
        <v>56596</v>
      </c>
      <c r="U108" s="212">
        <f>SUM(U109:U113)</f>
        <v>663679.14718414564</v>
      </c>
      <c r="V108" s="33">
        <f t="shared" si="39"/>
        <v>1022.8719271841458</v>
      </c>
      <c r="W108" s="33">
        <f t="shared" si="42"/>
        <v>1127.7715000000001</v>
      </c>
      <c r="X108" s="306">
        <f t="shared" ref="X108:Y108" si="48">J108+Q108</f>
        <v>2175.558</v>
      </c>
      <c r="Y108" s="41">
        <f t="shared" si="48"/>
        <v>2255.5430000000001</v>
      </c>
      <c r="Z108" s="250"/>
      <c r="AA108" s="174"/>
      <c r="AB108" s="252"/>
      <c r="AD108" s="252"/>
    </row>
    <row r="109" spans="1:31" s="117" customFormat="1" ht="9.9499999999999993" customHeight="1" x14ac:dyDescent="0.15">
      <c r="A109" s="144" t="s">
        <v>392</v>
      </c>
      <c r="B109" s="134">
        <v>0.6</v>
      </c>
      <c r="C109" s="145">
        <f t="shared" si="46"/>
        <v>267.06248056977705</v>
      </c>
      <c r="D109" s="43">
        <f t="shared" si="30"/>
        <v>267062.48056977708</v>
      </c>
      <c r="E109" s="274">
        <v>93928.79</v>
      </c>
      <c r="F109" s="304">
        <f t="shared" si="36"/>
        <v>351.59249999999997</v>
      </c>
      <c r="G109" s="334">
        <f t="shared" si="37"/>
        <v>175796.25</v>
      </c>
      <c r="H109" s="335">
        <f t="shared" si="38"/>
        <v>343185</v>
      </c>
      <c r="I109" s="200">
        <v>360000</v>
      </c>
      <c r="J109" s="307">
        <f t="shared" si="40"/>
        <v>703.18499999999995</v>
      </c>
      <c r="K109" s="43">
        <f t="shared" si="47"/>
        <v>703.18499999999995</v>
      </c>
      <c r="L109" s="200">
        <v>703185</v>
      </c>
      <c r="M109" s="196">
        <f t="shared" si="45"/>
        <v>0</v>
      </c>
      <c r="N109" s="36"/>
      <c r="O109" s="407">
        <f>R109/2</f>
        <v>-12.5</v>
      </c>
      <c r="P109" s="408"/>
      <c r="Q109" s="308">
        <v>0</v>
      </c>
      <c r="R109" s="43">
        <f t="shared" si="41"/>
        <v>-25</v>
      </c>
      <c r="S109" s="200">
        <v>25000</v>
      </c>
      <c r="T109" s="266"/>
      <c r="U109" s="227">
        <f t="shared" si="43"/>
        <v>173133.6905697771</v>
      </c>
      <c r="V109" s="36">
        <f t="shared" si="39"/>
        <v>267.06248056977705</v>
      </c>
      <c r="W109" s="36">
        <f>F109+O109</f>
        <v>339.09249999999997</v>
      </c>
      <c r="X109" s="248">
        <f>J109+Q109</f>
        <v>703.18499999999995</v>
      </c>
      <c r="Y109" s="43">
        <f t="shared" ref="X109:Y124" si="49">K109+R109</f>
        <v>678.18499999999995</v>
      </c>
      <c r="Z109" s="250"/>
      <c r="AA109" s="174"/>
      <c r="AB109" s="252"/>
      <c r="AD109" s="252"/>
    </row>
    <row r="110" spans="1:31" s="117" customFormat="1" ht="9.9499999999999993" hidden="1" customHeight="1" x14ac:dyDescent="0.15">
      <c r="A110" s="144" t="s">
        <v>355</v>
      </c>
      <c r="B110" s="134">
        <v>0</v>
      </c>
      <c r="C110" s="145">
        <f t="shared" si="46"/>
        <v>0</v>
      </c>
      <c r="D110" s="43">
        <f t="shared" si="30"/>
        <v>0</v>
      </c>
      <c r="E110" s="274"/>
      <c r="F110" s="304">
        <f t="shared" si="36"/>
        <v>0</v>
      </c>
      <c r="G110" s="334">
        <f t="shared" si="37"/>
        <v>0</v>
      </c>
      <c r="H110" s="335">
        <f t="shared" si="38"/>
        <v>0</v>
      </c>
      <c r="I110" s="200"/>
      <c r="J110" s="307">
        <f t="shared" si="40"/>
        <v>0</v>
      </c>
      <c r="K110" s="43">
        <f t="shared" si="47"/>
        <v>0</v>
      </c>
      <c r="L110" s="200"/>
      <c r="M110" s="196">
        <f t="shared" si="45"/>
        <v>0</v>
      </c>
      <c r="N110" s="36"/>
      <c r="O110" s="407">
        <f t="shared" ref="O110:O111" si="50">R110/2</f>
        <v>0</v>
      </c>
      <c r="P110" s="408"/>
      <c r="Q110" s="308">
        <f t="shared" si="33"/>
        <v>0</v>
      </c>
      <c r="R110" s="43">
        <f t="shared" si="41"/>
        <v>0</v>
      </c>
      <c r="S110" s="200"/>
      <c r="T110" s="266"/>
      <c r="U110" s="227">
        <f t="shared" si="43"/>
        <v>0</v>
      </c>
      <c r="V110" s="36">
        <f t="shared" si="39"/>
        <v>0</v>
      </c>
      <c r="W110" s="36">
        <f t="shared" si="42"/>
        <v>0</v>
      </c>
      <c r="X110" s="248">
        <f t="shared" si="49"/>
        <v>0</v>
      </c>
      <c r="Y110" s="43">
        <f t="shared" si="49"/>
        <v>0</v>
      </c>
      <c r="Z110" s="250"/>
      <c r="AA110" s="174"/>
      <c r="AB110" s="252"/>
      <c r="AD110" s="252"/>
    </row>
    <row r="111" spans="1:31" s="117" customFormat="1" ht="9.9499999999999993" customHeight="1" x14ac:dyDescent="0.15">
      <c r="A111" s="144" t="s">
        <v>393</v>
      </c>
      <c r="B111" s="134">
        <v>0.55000000000000004</v>
      </c>
      <c r="C111" s="145">
        <f t="shared" si="46"/>
        <v>189.8523830222957</v>
      </c>
      <c r="D111" s="43">
        <f t="shared" si="30"/>
        <v>189852.38302229569</v>
      </c>
      <c r="E111" s="274">
        <v>31146.5</v>
      </c>
      <c r="F111" s="304">
        <f t="shared" si="36"/>
        <v>327.29300000000001</v>
      </c>
      <c r="G111" s="334">
        <f t="shared" si="37"/>
        <v>163646.5</v>
      </c>
      <c r="H111" s="335">
        <f t="shared" si="38"/>
        <v>314586</v>
      </c>
      <c r="I111" s="200">
        <v>340000</v>
      </c>
      <c r="J111" s="307">
        <f t="shared" si="40"/>
        <v>654.58600000000001</v>
      </c>
      <c r="K111" s="43">
        <f t="shared" si="47"/>
        <v>654.58600000000001</v>
      </c>
      <c r="L111" s="200">
        <v>654586</v>
      </c>
      <c r="M111" s="196">
        <f t="shared" si="45"/>
        <v>0</v>
      </c>
      <c r="N111" s="36"/>
      <c r="O111" s="407">
        <f t="shared" si="50"/>
        <v>-210</v>
      </c>
      <c r="P111" s="408"/>
      <c r="Q111" s="308">
        <f t="shared" si="33"/>
        <v>-420</v>
      </c>
      <c r="R111" s="43">
        <f t="shared" si="41"/>
        <v>-420</v>
      </c>
      <c r="S111" s="200">
        <v>420000</v>
      </c>
      <c r="T111" s="266"/>
      <c r="U111" s="227">
        <f t="shared" si="43"/>
        <v>158705.88302229569</v>
      </c>
      <c r="V111" s="36">
        <f t="shared" si="39"/>
        <v>189.8523830222957</v>
      </c>
      <c r="W111" s="36">
        <f t="shared" si="42"/>
        <v>117.29300000000001</v>
      </c>
      <c r="X111" s="248">
        <f t="shared" si="49"/>
        <v>234.58600000000001</v>
      </c>
      <c r="Y111" s="43">
        <f t="shared" si="49"/>
        <v>234.58600000000001</v>
      </c>
      <c r="Z111" s="250"/>
      <c r="AA111" s="174"/>
      <c r="AB111" s="252"/>
      <c r="AD111" s="252"/>
    </row>
    <row r="112" spans="1:31" s="117" customFormat="1" ht="9.9499999999999993" customHeight="1" x14ac:dyDescent="0.15">
      <c r="A112" s="144" t="s">
        <v>423</v>
      </c>
      <c r="B112" s="134">
        <v>0.45</v>
      </c>
      <c r="C112" s="145">
        <f t="shared" si="46"/>
        <v>373.55866792733286</v>
      </c>
      <c r="D112" s="43">
        <f t="shared" si="30"/>
        <v>373558.66792733286</v>
      </c>
      <c r="E112" s="274">
        <f>240050.7+3657.7</f>
        <v>243708.40000000002</v>
      </c>
      <c r="F112" s="304">
        <f t="shared" si="36"/>
        <v>268.69450000000001</v>
      </c>
      <c r="G112" s="334">
        <f t="shared" si="37"/>
        <v>134347.25</v>
      </c>
      <c r="H112" s="335">
        <f t="shared" si="38"/>
        <v>257389</v>
      </c>
      <c r="I112" s="200">
        <v>280000</v>
      </c>
      <c r="J112" s="307">
        <v>489</v>
      </c>
      <c r="K112" s="43">
        <f t="shared" si="47"/>
        <v>537.38900000000001</v>
      </c>
      <c r="L112" s="200">
        <v>537389</v>
      </c>
      <c r="M112" s="196">
        <f t="shared" si="45"/>
        <v>-56.595999999999997</v>
      </c>
      <c r="N112" s="36"/>
      <c r="O112" s="407">
        <f t="shared" si="31"/>
        <v>0</v>
      </c>
      <c r="P112" s="408"/>
      <c r="Q112" s="308">
        <f>M112</f>
        <v>-56.595999999999997</v>
      </c>
      <c r="R112" s="43">
        <f t="shared" si="41"/>
        <v>0</v>
      </c>
      <c r="S112" s="200"/>
      <c r="T112" s="266">
        <v>56596</v>
      </c>
      <c r="U112" s="227">
        <f t="shared" si="43"/>
        <v>129850.26792733282</v>
      </c>
      <c r="V112" s="36">
        <f t="shared" si="39"/>
        <v>316.96266792733286</v>
      </c>
      <c r="W112" s="36">
        <f t="shared" si="42"/>
        <v>268.69450000000001</v>
      </c>
      <c r="X112" s="248">
        <f t="shared" si="49"/>
        <v>432.404</v>
      </c>
      <c r="Y112" s="43">
        <f t="shared" si="49"/>
        <v>537.38900000000001</v>
      </c>
      <c r="Z112" s="250"/>
      <c r="AA112" s="174"/>
      <c r="AB112" s="252"/>
      <c r="AD112" s="252"/>
    </row>
    <row r="113" spans="1:32" s="117" customFormat="1" ht="9.9499999999999993" customHeight="1" x14ac:dyDescent="0.15">
      <c r="A113" s="144" t="s">
        <v>394</v>
      </c>
      <c r="B113" s="134">
        <v>0.7</v>
      </c>
      <c r="C113" s="145">
        <f t="shared" si="46"/>
        <v>248.99439566473995</v>
      </c>
      <c r="D113" s="43">
        <f t="shared" si="30"/>
        <v>248994.39566473995</v>
      </c>
      <c r="E113" s="274">
        <f>1800+45205.09</f>
        <v>47005.09</v>
      </c>
      <c r="F113" s="304">
        <f t="shared" si="36"/>
        <v>402.69150000000002</v>
      </c>
      <c r="G113" s="334">
        <f t="shared" si="37"/>
        <v>201345.75</v>
      </c>
      <c r="H113" s="335">
        <f t="shared" si="38"/>
        <v>400383</v>
      </c>
      <c r="I113" s="200">
        <v>405000</v>
      </c>
      <c r="J113" s="307">
        <f t="shared" si="40"/>
        <v>805.38300000000004</v>
      </c>
      <c r="K113" s="43">
        <f t="shared" si="47"/>
        <v>805.38300000000004</v>
      </c>
      <c r="L113" s="200">
        <v>805383</v>
      </c>
      <c r="M113" s="196">
        <f t="shared" si="45"/>
        <v>0</v>
      </c>
      <c r="N113" s="36"/>
      <c r="O113" s="407">
        <f t="shared" si="31"/>
        <v>0</v>
      </c>
      <c r="P113" s="408"/>
      <c r="Q113" s="308">
        <f t="shared" si="33"/>
        <v>0</v>
      </c>
      <c r="R113" s="43">
        <f t="shared" si="41"/>
        <v>0</v>
      </c>
      <c r="S113" s="200"/>
      <c r="T113" s="266"/>
      <c r="U113" s="227">
        <f t="shared" si="43"/>
        <v>201989.30566473995</v>
      </c>
      <c r="V113" s="36">
        <f t="shared" si="39"/>
        <v>248.99439566473995</v>
      </c>
      <c r="W113" s="36">
        <f t="shared" si="42"/>
        <v>402.69150000000002</v>
      </c>
      <c r="X113" s="248">
        <f t="shared" si="49"/>
        <v>805.38300000000004</v>
      </c>
      <c r="Y113" s="43">
        <f t="shared" si="49"/>
        <v>805.38300000000004</v>
      </c>
      <c r="Z113" s="250"/>
      <c r="AA113" s="174"/>
      <c r="AB113" s="252"/>
      <c r="AD113" s="252"/>
      <c r="AE113" s="386"/>
    </row>
    <row r="114" spans="1:32" s="117" customFormat="1" ht="9.9499999999999993" customHeight="1" x14ac:dyDescent="0.15">
      <c r="A114" s="152" t="s">
        <v>395</v>
      </c>
      <c r="B114" s="125">
        <f>B115+B116</f>
        <v>0.6</v>
      </c>
      <c r="C114" s="140">
        <f t="shared" si="46"/>
        <v>268.54172056977706</v>
      </c>
      <c r="D114" s="41">
        <f t="shared" si="30"/>
        <v>268541.72056977707</v>
      </c>
      <c r="E114" s="247">
        <f>E115+E116</f>
        <v>95408.03</v>
      </c>
      <c r="F114" s="301">
        <f t="shared" si="36"/>
        <v>209.0925</v>
      </c>
      <c r="G114" s="258">
        <f t="shared" si="37"/>
        <v>104546.25</v>
      </c>
      <c r="H114" s="246">
        <f t="shared" si="38"/>
        <v>343185</v>
      </c>
      <c r="I114" s="198">
        <f>SUM(I115:I116)</f>
        <v>75000</v>
      </c>
      <c r="J114" s="305">
        <f>J115</f>
        <v>465</v>
      </c>
      <c r="K114" s="41">
        <f t="shared" si="47"/>
        <v>418.185</v>
      </c>
      <c r="L114" s="198">
        <f>SUM(L115:L116)</f>
        <v>418185</v>
      </c>
      <c r="M114" s="195">
        <f t="shared" si="45"/>
        <v>0</v>
      </c>
      <c r="N114" s="33">
        <f>SUM(N115:N116)</f>
        <v>0</v>
      </c>
      <c r="O114" s="405">
        <f t="shared" si="31"/>
        <v>0</v>
      </c>
      <c r="P114" s="406"/>
      <c r="Q114" s="309">
        <f t="shared" si="33"/>
        <v>0</v>
      </c>
      <c r="R114" s="41">
        <f t="shared" si="41"/>
        <v>0</v>
      </c>
      <c r="S114" s="198">
        <f>SUM(S115:S116)</f>
        <v>0</v>
      </c>
      <c r="T114" s="198">
        <f>T115+T116</f>
        <v>0</v>
      </c>
      <c r="U114" s="210">
        <f>SUM(U115:U116)</f>
        <v>173133.6905697771</v>
      </c>
      <c r="V114" s="33">
        <f t="shared" si="39"/>
        <v>268.54172056977706</v>
      </c>
      <c r="W114" s="33">
        <f t="shared" si="42"/>
        <v>209.0925</v>
      </c>
      <c r="X114" s="306">
        <f>SUM(X115:X116)</f>
        <v>465</v>
      </c>
      <c r="Y114" s="41">
        <f t="shared" si="49"/>
        <v>418.185</v>
      </c>
      <c r="Z114" s="250"/>
      <c r="AA114" s="174"/>
      <c r="AB114" s="252"/>
      <c r="AD114" s="252"/>
    </row>
    <row r="115" spans="1:32" s="117" customFormat="1" ht="9.9499999999999993" customHeight="1" x14ac:dyDescent="0.15">
      <c r="A115" s="144" t="s">
        <v>396</v>
      </c>
      <c r="B115" s="134">
        <v>0.6</v>
      </c>
      <c r="C115" s="145">
        <f t="shared" si="46"/>
        <v>268.54172056977706</v>
      </c>
      <c r="D115" s="43">
        <f t="shared" si="30"/>
        <v>268541.72056977707</v>
      </c>
      <c r="E115" s="274">
        <f>87367.9+8040.13</f>
        <v>95408.03</v>
      </c>
      <c r="F115" s="304">
        <f t="shared" si="36"/>
        <v>209.0925</v>
      </c>
      <c r="G115" s="334">
        <f t="shared" si="37"/>
        <v>104546.25</v>
      </c>
      <c r="H115" s="335">
        <f t="shared" si="38"/>
        <v>343185</v>
      </c>
      <c r="I115" s="200">
        <v>75000</v>
      </c>
      <c r="J115" s="307">
        <v>465</v>
      </c>
      <c r="K115" s="43">
        <f t="shared" si="47"/>
        <v>418.185</v>
      </c>
      <c r="L115" s="200">
        <v>418185</v>
      </c>
      <c r="M115" s="196">
        <f t="shared" si="45"/>
        <v>0</v>
      </c>
      <c r="N115" s="36"/>
      <c r="O115" s="407">
        <f t="shared" si="31"/>
        <v>0</v>
      </c>
      <c r="P115" s="408"/>
      <c r="Q115" s="308">
        <f t="shared" si="33"/>
        <v>0</v>
      </c>
      <c r="R115" s="43">
        <f t="shared" si="41"/>
        <v>0</v>
      </c>
      <c r="S115" s="200"/>
      <c r="T115" s="266"/>
      <c r="U115" s="227">
        <f t="shared" si="43"/>
        <v>173133.6905697771</v>
      </c>
      <c r="V115" s="36">
        <f t="shared" si="39"/>
        <v>268.54172056977706</v>
      </c>
      <c r="W115" s="36">
        <f t="shared" si="42"/>
        <v>209.0925</v>
      </c>
      <c r="X115" s="248">
        <f t="shared" si="49"/>
        <v>465</v>
      </c>
      <c r="Y115" s="43">
        <f t="shared" si="49"/>
        <v>418.185</v>
      </c>
      <c r="Z115" s="250"/>
      <c r="AA115" s="174"/>
      <c r="AB115" s="252"/>
      <c r="AD115" s="252"/>
      <c r="AE115" s="386"/>
    </row>
    <row r="116" spans="1:32" s="117" customFormat="1" ht="9.9499999999999993" hidden="1" customHeight="1" x14ac:dyDescent="0.15">
      <c r="A116" s="144"/>
      <c r="B116" s="134"/>
      <c r="C116" s="145">
        <f t="shared" si="46"/>
        <v>0</v>
      </c>
      <c r="D116" s="43">
        <f t="shared" si="30"/>
        <v>0</v>
      </c>
      <c r="E116" s="274"/>
      <c r="F116" s="304">
        <f t="shared" si="36"/>
        <v>0</v>
      </c>
      <c r="G116" s="334">
        <f t="shared" si="37"/>
        <v>0</v>
      </c>
      <c r="H116" s="335">
        <f t="shared" si="38"/>
        <v>0</v>
      </c>
      <c r="I116" s="200"/>
      <c r="J116" s="305">
        <f t="shared" si="40"/>
        <v>0</v>
      </c>
      <c r="K116" s="43">
        <f t="shared" si="47"/>
        <v>0</v>
      </c>
      <c r="L116" s="200"/>
      <c r="M116" s="196">
        <f t="shared" si="45"/>
        <v>0</v>
      </c>
      <c r="N116" s="36"/>
      <c r="O116" s="405">
        <f t="shared" si="31"/>
        <v>0</v>
      </c>
      <c r="P116" s="406"/>
      <c r="Q116" s="309">
        <f t="shared" si="33"/>
        <v>0</v>
      </c>
      <c r="R116" s="43">
        <f t="shared" si="41"/>
        <v>0</v>
      </c>
      <c r="S116" s="200"/>
      <c r="T116" s="266"/>
      <c r="U116" s="227">
        <f t="shared" si="43"/>
        <v>0</v>
      </c>
      <c r="V116" s="36">
        <f t="shared" si="39"/>
        <v>0</v>
      </c>
      <c r="W116" s="36">
        <f t="shared" si="42"/>
        <v>0</v>
      </c>
      <c r="X116" s="248">
        <f t="shared" si="49"/>
        <v>0</v>
      </c>
      <c r="Y116" s="43">
        <f t="shared" si="49"/>
        <v>0</v>
      </c>
      <c r="Z116" s="250"/>
      <c r="AA116" s="174"/>
      <c r="AB116" s="252"/>
      <c r="AD116" s="252"/>
    </row>
    <row r="117" spans="1:32" s="117" customFormat="1" ht="9.9499999999999993" customHeight="1" x14ac:dyDescent="0.15">
      <c r="A117" s="152" t="s">
        <v>397</v>
      </c>
      <c r="B117" s="125">
        <f>B118</f>
        <v>0.65</v>
      </c>
      <c r="C117" s="140">
        <f t="shared" si="46"/>
        <v>195.16166811725856</v>
      </c>
      <c r="D117" s="41">
        <f t="shared" si="30"/>
        <v>195161.66811725855</v>
      </c>
      <c r="E117" s="311">
        <f t="shared" ref="E117:T117" si="51">E118</f>
        <v>7600.17</v>
      </c>
      <c r="F117" s="301">
        <f t="shared" si="36"/>
        <v>195.892</v>
      </c>
      <c r="G117" s="258">
        <f t="shared" si="37"/>
        <v>97946</v>
      </c>
      <c r="H117" s="246">
        <f t="shared" si="38"/>
        <v>371784</v>
      </c>
      <c r="I117" s="198">
        <f>I118</f>
        <v>20000</v>
      </c>
      <c r="J117" s="305">
        <f t="shared" si="40"/>
        <v>391.78399999999999</v>
      </c>
      <c r="K117" s="41">
        <f t="shared" si="47"/>
        <v>391.78399999999999</v>
      </c>
      <c r="L117" s="323">
        <f t="shared" si="51"/>
        <v>391784</v>
      </c>
      <c r="M117" s="195">
        <f t="shared" si="45"/>
        <v>0</v>
      </c>
      <c r="N117" s="321">
        <f>SUM(N118:N118)</f>
        <v>0</v>
      </c>
      <c r="O117" s="405">
        <f t="shared" si="31"/>
        <v>0</v>
      </c>
      <c r="P117" s="409">
        <f t="shared" si="51"/>
        <v>0</v>
      </c>
      <c r="Q117" s="309">
        <f t="shared" si="33"/>
        <v>0</v>
      </c>
      <c r="R117" s="41">
        <f t="shared" si="41"/>
        <v>0</v>
      </c>
      <c r="S117" s="322">
        <f t="shared" si="51"/>
        <v>0</v>
      </c>
      <c r="T117" s="341">
        <f t="shared" si="51"/>
        <v>0</v>
      </c>
      <c r="U117" s="210">
        <f t="shared" si="43"/>
        <v>187561.49811725854</v>
      </c>
      <c r="V117" s="33">
        <f t="shared" si="39"/>
        <v>195.16166811725856</v>
      </c>
      <c r="W117" s="33">
        <f t="shared" si="42"/>
        <v>195.892</v>
      </c>
      <c r="X117" s="306">
        <f>SUM(X118)</f>
        <v>391.78399999999999</v>
      </c>
      <c r="Y117" s="41">
        <f t="shared" si="49"/>
        <v>391.78399999999999</v>
      </c>
      <c r="Z117" s="250"/>
      <c r="AA117" s="174"/>
      <c r="AB117" s="252"/>
      <c r="AD117" s="252"/>
    </row>
    <row r="118" spans="1:32" s="117" customFormat="1" ht="9.75" customHeight="1" x14ac:dyDescent="0.15">
      <c r="A118" s="144" t="s">
        <v>398</v>
      </c>
      <c r="B118" s="134">
        <v>0.65</v>
      </c>
      <c r="C118" s="145">
        <f t="shared" si="46"/>
        <v>195.16166811725856</v>
      </c>
      <c r="D118" s="43">
        <f t="shared" si="30"/>
        <v>195161.66811725855</v>
      </c>
      <c r="E118" s="274">
        <f>7600.17</f>
        <v>7600.17</v>
      </c>
      <c r="F118" s="304">
        <f t="shared" si="36"/>
        <v>195.892</v>
      </c>
      <c r="G118" s="334">
        <f t="shared" si="37"/>
        <v>97946</v>
      </c>
      <c r="H118" s="335">
        <f t="shared" si="38"/>
        <v>371784</v>
      </c>
      <c r="I118" s="200">
        <v>20000</v>
      </c>
      <c r="J118" s="307">
        <f t="shared" si="40"/>
        <v>391.78399999999999</v>
      </c>
      <c r="K118" s="43">
        <f t="shared" si="47"/>
        <v>391.78399999999999</v>
      </c>
      <c r="L118" s="200">
        <v>391784</v>
      </c>
      <c r="M118" s="196">
        <f t="shared" si="45"/>
        <v>0</v>
      </c>
      <c r="N118" s="36"/>
      <c r="O118" s="407">
        <f t="shared" si="31"/>
        <v>0</v>
      </c>
      <c r="P118" s="408"/>
      <c r="Q118" s="308">
        <f t="shared" si="33"/>
        <v>0</v>
      </c>
      <c r="R118" s="43">
        <f t="shared" si="41"/>
        <v>0</v>
      </c>
      <c r="S118" s="200"/>
      <c r="T118" s="266"/>
      <c r="U118" s="227">
        <f t="shared" si="43"/>
        <v>187561.49811725854</v>
      </c>
      <c r="V118" s="36">
        <f t="shared" si="39"/>
        <v>195.16166811725856</v>
      </c>
      <c r="W118" s="36">
        <f t="shared" si="42"/>
        <v>195.892</v>
      </c>
      <c r="X118" s="248">
        <f t="shared" si="49"/>
        <v>391.78399999999999</v>
      </c>
      <c r="Y118" s="43">
        <f t="shared" si="49"/>
        <v>391.78399999999999</v>
      </c>
      <c r="Z118" s="250">
        <f>J120-C120</f>
        <v>0</v>
      </c>
      <c r="AA118" s="174">
        <f>M120-Q120</f>
        <v>0</v>
      </c>
      <c r="AB118" s="252"/>
      <c r="AD118" s="252"/>
      <c r="AE118" s="386"/>
      <c r="AF118" s="386"/>
    </row>
    <row r="119" spans="1:32" s="117" customFormat="1" ht="10.5" hidden="1" customHeight="1" x14ac:dyDescent="0.15">
      <c r="A119" s="144"/>
      <c r="B119" s="134"/>
      <c r="C119" s="145"/>
      <c r="D119" s="43"/>
      <c r="E119" s="274"/>
      <c r="F119" s="304">
        <f t="shared" ref="F119:F120" si="52">K119/4*1</f>
        <v>0</v>
      </c>
      <c r="G119" s="334"/>
      <c r="H119" s="335"/>
      <c r="I119" s="200"/>
      <c r="J119" s="305">
        <f t="shared" si="40"/>
        <v>0</v>
      </c>
      <c r="K119" s="43"/>
      <c r="L119" s="200"/>
      <c r="M119" s="196"/>
      <c r="N119" s="36"/>
      <c r="O119" s="404">
        <f t="shared" si="31"/>
        <v>0</v>
      </c>
      <c r="P119" s="406"/>
      <c r="Q119" s="404">
        <f t="shared" si="33"/>
        <v>0</v>
      </c>
      <c r="R119" s="43"/>
      <c r="S119" s="200"/>
      <c r="T119" s="266"/>
      <c r="U119" s="227"/>
      <c r="V119" s="36"/>
      <c r="W119" s="36"/>
      <c r="X119" s="248"/>
      <c r="Y119" s="43"/>
      <c r="Z119" s="250"/>
      <c r="AA119" s="174"/>
      <c r="AB119" s="252"/>
      <c r="AD119" s="252"/>
    </row>
    <row r="120" spans="1:32" s="317" customFormat="1" hidden="1" x14ac:dyDescent="0.15">
      <c r="A120" s="168" t="s">
        <v>83</v>
      </c>
      <c r="B120" s="134"/>
      <c r="C120" s="140"/>
      <c r="D120" s="41">
        <f t="shared" si="30"/>
        <v>0</v>
      </c>
      <c r="E120" s="274"/>
      <c r="F120" s="304">
        <f t="shared" si="52"/>
        <v>0</v>
      </c>
      <c r="G120" s="258">
        <f t="shared" si="37"/>
        <v>0</v>
      </c>
      <c r="H120" s="246">
        <f t="shared" si="38"/>
        <v>0</v>
      </c>
      <c r="I120" s="198">
        <f t="shared" ref="I120:I175" si="53">L120</f>
        <v>0</v>
      </c>
      <c r="J120" s="305">
        <f t="shared" si="40"/>
        <v>0</v>
      </c>
      <c r="K120" s="41">
        <f t="shared" si="47"/>
        <v>0</v>
      </c>
      <c r="L120" s="200"/>
      <c r="M120" s="195">
        <f t="shared" si="45"/>
        <v>0</v>
      </c>
      <c r="N120" s="36"/>
      <c r="O120" s="404">
        <f t="shared" si="31"/>
        <v>0</v>
      </c>
      <c r="P120" s="406">
        <f t="shared" ref="P120:P149" si="54">S120/4*3</f>
        <v>0</v>
      </c>
      <c r="Q120" s="404">
        <f t="shared" si="33"/>
        <v>0</v>
      </c>
      <c r="R120" s="43"/>
      <c r="S120" s="200"/>
      <c r="T120" s="266"/>
      <c r="U120" s="210">
        <f t="shared" si="43"/>
        <v>0</v>
      </c>
      <c r="V120" s="36"/>
      <c r="W120" s="36"/>
      <c r="X120" s="248"/>
      <c r="Y120" s="43">
        <f t="shared" si="49"/>
        <v>0</v>
      </c>
      <c r="Z120" s="250">
        <f t="shared" ref="Z120:Z176" si="55">J121-C121</f>
        <v>5499.2761123897599</v>
      </c>
      <c r="AA120" s="192">
        <f t="shared" ref="AA120:AA176" si="56">M121-Q121</f>
        <v>49.861249999999998</v>
      </c>
      <c r="AB120" s="252"/>
      <c r="AD120" s="252"/>
    </row>
    <row r="121" spans="1:32" s="118" customFormat="1" ht="9.9499999999999993" customHeight="1" x14ac:dyDescent="0.15">
      <c r="A121" s="287" t="s">
        <v>83</v>
      </c>
      <c r="B121" s="392">
        <f>B122+B136</f>
        <v>10.119999999999999</v>
      </c>
      <c r="C121" s="320">
        <f t="shared" ref="C121:C145" si="57">D121/1000</f>
        <v>5455.5798876102399</v>
      </c>
      <c r="D121" s="191">
        <f t="shared" si="30"/>
        <v>5455579.8876102399</v>
      </c>
      <c r="E121" s="191">
        <f>E122+E136</f>
        <v>2535391.6399999997</v>
      </c>
      <c r="F121" s="280">
        <f>K121/2</f>
        <v>5496.6935000000003</v>
      </c>
      <c r="G121" s="315">
        <f t="shared" si="37"/>
        <v>2748346.75</v>
      </c>
      <c r="H121" s="294">
        <f t="shared" si="38"/>
        <v>5788387</v>
      </c>
      <c r="I121" s="198">
        <f>I122+I136</f>
        <v>5205000</v>
      </c>
      <c r="J121" s="280">
        <f>J122+J136</f>
        <v>10954.856</v>
      </c>
      <c r="K121" s="191">
        <f t="shared" si="47"/>
        <v>10993.387000000001</v>
      </c>
      <c r="L121" s="191">
        <f>L122+L136</f>
        <v>10993387</v>
      </c>
      <c r="M121" s="191">
        <f t="shared" si="45"/>
        <v>-2.1387499999999999</v>
      </c>
      <c r="N121" s="191">
        <f>N122+N136</f>
        <v>0</v>
      </c>
      <c r="O121" s="404">
        <f>R121/2</f>
        <v>-25</v>
      </c>
      <c r="P121" s="404">
        <f t="shared" si="54"/>
        <v>37500</v>
      </c>
      <c r="Q121" s="404">
        <f>Q122+Q136</f>
        <v>-52</v>
      </c>
      <c r="R121" s="191">
        <f t="shared" ref="R121:R145" si="58">S121/1000*-1</f>
        <v>-50</v>
      </c>
      <c r="S121" s="201">
        <f>S122+S136</f>
        <v>50000</v>
      </c>
      <c r="T121" s="201">
        <f>T122+T136</f>
        <v>2138.75</v>
      </c>
      <c r="U121" s="210">
        <f>U122+U136</f>
        <v>2920188.2476102402</v>
      </c>
      <c r="V121" s="198">
        <f t="shared" ref="V121:V144" si="59">C121+M121</f>
        <v>5453.4411376102398</v>
      </c>
      <c r="W121" s="198">
        <f t="shared" ref="W121:W145" si="60">F121+O121</f>
        <v>5471.6935000000003</v>
      </c>
      <c r="X121" s="191">
        <f>X122+X136</f>
        <v>10902.856</v>
      </c>
      <c r="Y121" s="191">
        <f t="shared" si="49"/>
        <v>10943.387000000001</v>
      </c>
      <c r="Z121" s="250">
        <f t="shared" si="55"/>
        <v>2069.4067688307177</v>
      </c>
      <c r="AA121" s="174">
        <f t="shared" si="56"/>
        <v>0</v>
      </c>
      <c r="AB121" s="252"/>
      <c r="AD121" s="252"/>
    </row>
    <row r="122" spans="1:32" s="117" customFormat="1" ht="9.9499999999999993" customHeight="1" x14ac:dyDescent="0.15">
      <c r="A122" s="152" t="s">
        <v>399</v>
      </c>
      <c r="B122" s="125">
        <f>SUM(B123:B135)</f>
        <v>5.97</v>
      </c>
      <c r="C122" s="140">
        <f t="shared" si="57"/>
        <v>2401.7532311692821</v>
      </c>
      <c r="D122" s="41">
        <f t="shared" si="30"/>
        <v>2401753.231169282</v>
      </c>
      <c r="E122" s="247">
        <f>SUM(E123:E130)</f>
        <v>679073.01</v>
      </c>
      <c r="F122" s="301">
        <f>K122/2</f>
        <v>2254.8454999999999</v>
      </c>
      <c r="G122" s="334">
        <f t="shared" si="37"/>
        <v>1127422.75</v>
      </c>
      <c r="H122" s="335">
        <f t="shared" si="38"/>
        <v>3414691</v>
      </c>
      <c r="I122" s="198">
        <f>SUM(I123:I126)</f>
        <v>1095000</v>
      </c>
      <c r="J122" s="305">
        <f>SUM(J123:J126)</f>
        <v>4471.16</v>
      </c>
      <c r="K122" s="41">
        <f t="shared" si="47"/>
        <v>4509.6909999999998</v>
      </c>
      <c r="L122" s="198">
        <f>SUM(L123:L135)</f>
        <v>4509691</v>
      </c>
      <c r="M122" s="195">
        <f t="shared" si="45"/>
        <v>0</v>
      </c>
      <c r="N122" s="33">
        <f>N128</f>
        <v>0</v>
      </c>
      <c r="O122" s="405">
        <f t="shared" si="31"/>
        <v>0</v>
      </c>
      <c r="P122" s="406">
        <f t="shared" si="54"/>
        <v>0</v>
      </c>
      <c r="Q122" s="309">
        <f>Q123+Q125+Q126</f>
        <v>0</v>
      </c>
      <c r="R122" s="41">
        <f t="shared" si="58"/>
        <v>0</v>
      </c>
      <c r="S122" s="198">
        <f>SUM(S123:S130)</f>
        <v>0</v>
      </c>
      <c r="T122" s="265">
        <f>SUM(T123:T130)</f>
        <v>0</v>
      </c>
      <c r="U122" s="210">
        <f>SUM(U123:U130)</f>
        <v>1722680.221169282</v>
      </c>
      <c r="V122" s="33">
        <f t="shared" si="59"/>
        <v>2401.7532311692821</v>
      </c>
      <c r="W122" s="33">
        <f t="shared" si="60"/>
        <v>2254.8454999999999</v>
      </c>
      <c r="X122" s="306">
        <f>SUM(X123:X126)</f>
        <v>4471.16</v>
      </c>
      <c r="Y122" s="41">
        <f t="shared" si="49"/>
        <v>4509.6909999999998</v>
      </c>
      <c r="Z122" s="250">
        <f t="shared" si="55"/>
        <v>1131.6162109199006</v>
      </c>
      <c r="AA122" s="174">
        <f t="shared" si="56"/>
        <v>0</v>
      </c>
      <c r="AB122" s="252"/>
      <c r="AD122" s="252"/>
    </row>
    <row r="123" spans="1:32" s="117" customFormat="1" ht="9.9499999999999993" customHeight="1" x14ac:dyDescent="0.15">
      <c r="A123" s="144" t="s">
        <v>400</v>
      </c>
      <c r="B123" s="134">
        <v>3.77</v>
      </c>
      <c r="C123" s="290">
        <f t="shared" si="57"/>
        <v>1224.3837890800994</v>
      </c>
      <c r="D123" s="196">
        <f t="shared" si="30"/>
        <v>1224383.7890800994</v>
      </c>
      <c r="E123" s="274">
        <f>50709.42+66998.1+2821.07+15998.51</f>
        <v>136527.1</v>
      </c>
      <c r="F123" s="304">
        <f>K123/2</f>
        <v>1228.173</v>
      </c>
      <c r="G123" s="334">
        <f t="shared" si="37"/>
        <v>614086.5</v>
      </c>
      <c r="H123" s="335">
        <f t="shared" si="38"/>
        <v>2156346</v>
      </c>
      <c r="I123" s="200">
        <v>300000</v>
      </c>
      <c r="J123" s="307">
        <v>2356</v>
      </c>
      <c r="K123" s="43">
        <f t="shared" si="47"/>
        <v>2456.346</v>
      </c>
      <c r="L123" s="200">
        <v>2456346</v>
      </c>
      <c r="M123" s="196">
        <f t="shared" si="45"/>
        <v>0</v>
      </c>
      <c r="N123" s="36">
        <f t="shared" ref="N123:N144" si="61">N129</f>
        <v>0</v>
      </c>
      <c r="O123" s="407">
        <f t="shared" si="31"/>
        <v>0</v>
      </c>
      <c r="P123" s="408">
        <f t="shared" si="54"/>
        <v>0</v>
      </c>
      <c r="Q123" s="308">
        <f t="shared" si="33"/>
        <v>0</v>
      </c>
      <c r="R123" s="43">
        <f t="shared" si="58"/>
        <v>0</v>
      </c>
      <c r="S123" s="200"/>
      <c r="T123" s="266"/>
      <c r="U123" s="227">
        <f t="shared" si="43"/>
        <v>1087856.6890800993</v>
      </c>
      <c r="V123" s="36">
        <f t="shared" si="59"/>
        <v>1224.3837890800994</v>
      </c>
      <c r="W123" s="36">
        <f t="shared" si="60"/>
        <v>1228.173</v>
      </c>
      <c r="X123" s="248">
        <f t="shared" si="49"/>
        <v>2356</v>
      </c>
      <c r="Y123" s="43">
        <f t="shared" si="49"/>
        <v>2456.346</v>
      </c>
      <c r="Z123" s="250">
        <f t="shared" si="55"/>
        <v>0</v>
      </c>
      <c r="AA123" s="174">
        <f t="shared" si="56"/>
        <v>0</v>
      </c>
      <c r="AB123" s="252"/>
      <c r="AD123" s="252"/>
    </row>
    <row r="124" spans="1:32" s="117" customFormat="1" ht="9.9499999999999993" hidden="1" customHeight="1" x14ac:dyDescent="0.15">
      <c r="A124" s="144"/>
      <c r="B124" s="134"/>
      <c r="C124" s="145">
        <f t="shared" si="57"/>
        <v>0</v>
      </c>
      <c r="D124" s="196">
        <f t="shared" si="30"/>
        <v>0</v>
      </c>
      <c r="E124" s="274"/>
      <c r="F124" s="304">
        <f t="shared" ref="F124:F144" si="62">K124/2</f>
        <v>0</v>
      </c>
      <c r="G124" s="334">
        <f t="shared" si="37"/>
        <v>0</v>
      </c>
      <c r="H124" s="335">
        <f t="shared" si="38"/>
        <v>0</v>
      </c>
      <c r="I124" s="200"/>
      <c r="J124" s="307">
        <f t="shared" si="40"/>
        <v>0</v>
      </c>
      <c r="K124" s="43">
        <f t="shared" si="47"/>
        <v>0</v>
      </c>
      <c r="L124" s="200"/>
      <c r="M124" s="196">
        <f t="shared" si="45"/>
        <v>0</v>
      </c>
      <c r="N124" s="36">
        <f t="shared" si="61"/>
        <v>0</v>
      </c>
      <c r="O124" s="407">
        <f t="shared" si="31"/>
        <v>0</v>
      </c>
      <c r="P124" s="408">
        <f t="shared" si="54"/>
        <v>0</v>
      </c>
      <c r="Q124" s="308">
        <f t="shared" si="33"/>
        <v>0</v>
      </c>
      <c r="R124" s="43">
        <f t="shared" si="58"/>
        <v>0</v>
      </c>
      <c r="S124" s="200"/>
      <c r="T124" s="266"/>
      <c r="U124" s="227">
        <f t="shared" si="43"/>
        <v>0</v>
      </c>
      <c r="V124" s="36">
        <f t="shared" si="59"/>
        <v>0</v>
      </c>
      <c r="W124" s="36">
        <f t="shared" si="60"/>
        <v>0</v>
      </c>
      <c r="X124" s="248">
        <f t="shared" si="49"/>
        <v>0</v>
      </c>
      <c r="Y124" s="43">
        <f t="shared" si="49"/>
        <v>0</v>
      </c>
      <c r="Z124" s="250">
        <f t="shared" si="55"/>
        <v>635.8054784805945</v>
      </c>
      <c r="AA124" s="174">
        <f t="shared" si="56"/>
        <v>0</v>
      </c>
      <c r="AB124" s="252"/>
      <c r="AD124" s="252"/>
    </row>
    <row r="125" spans="1:32" s="117" customFormat="1" ht="9.9499999999999993" customHeight="1" x14ac:dyDescent="0.15">
      <c r="A125" s="144" t="s">
        <v>401</v>
      </c>
      <c r="B125" s="134">
        <v>1.6</v>
      </c>
      <c r="C125" s="145">
        <f t="shared" si="57"/>
        <v>729.35452151940558</v>
      </c>
      <c r="D125" s="196">
        <f t="shared" si="30"/>
        <v>729354.52151940553</v>
      </c>
      <c r="E125" s="274">
        <f>44544.36+223120.32</f>
        <v>267664.68</v>
      </c>
      <c r="F125" s="304">
        <f t="shared" si="62"/>
        <v>682.58</v>
      </c>
      <c r="G125" s="334">
        <f t="shared" si="37"/>
        <v>341290</v>
      </c>
      <c r="H125" s="335">
        <f t="shared" si="38"/>
        <v>915160</v>
      </c>
      <c r="I125" s="200">
        <v>450000</v>
      </c>
      <c r="J125" s="307">
        <f t="shared" si="40"/>
        <v>1365.16</v>
      </c>
      <c r="K125" s="43">
        <f t="shared" si="47"/>
        <v>1365.16</v>
      </c>
      <c r="L125" s="200">
        <v>1365160</v>
      </c>
      <c r="M125" s="196">
        <f t="shared" si="45"/>
        <v>0</v>
      </c>
      <c r="N125" s="36">
        <f t="shared" si="61"/>
        <v>0</v>
      </c>
      <c r="O125" s="407">
        <f t="shared" si="31"/>
        <v>0</v>
      </c>
      <c r="P125" s="408">
        <f t="shared" si="54"/>
        <v>0</v>
      </c>
      <c r="Q125" s="308">
        <f t="shared" si="33"/>
        <v>0</v>
      </c>
      <c r="R125" s="43">
        <f t="shared" si="58"/>
        <v>0</v>
      </c>
      <c r="S125" s="200"/>
      <c r="T125" s="266"/>
      <c r="U125" s="227">
        <f t="shared" si="43"/>
        <v>461689.8415194056</v>
      </c>
      <c r="V125" s="36">
        <f t="shared" si="59"/>
        <v>729.35452151940558</v>
      </c>
      <c r="W125" s="36">
        <f t="shared" si="60"/>
        <v>682.58</v>
      </c>
      <c r="X125" s="248">
        <f t="shared" ref="X125:Y145" si="63">J125+Q125</f>
        <v>1365.16</v>
      </c>
      <c r="Y125" s="43">
        <f t="shared" si="63"/>
        <v>1365.16</v>
      </c>
      <c r="Z125" s="250">
        <f t="shared" si="55"/>
        <v>301.98507943022292</v>
      </c>
      <c r="AA125" s="174">
        <f t="shared" si="56"/>
        <v>0</v>
      </c>
      <c r="AB125" s="252"/>
      <c r="AD125" s="252"/>
    </row>
    <row r="126" spans="1:32" s="117" customFormat="1" ht="9.9499999999999993" customHeight="1" x14ac:dyDescent="0.15">
      <c r="A126" s="144" t="s">
        <v>402</v>
      </c>
      <c r="B126" s="134">
        <v>0.6</v>
      </c>
      <c r="C126" s="145">
        <f t="shared" si="57"/>
        <v>448.01492056977708</v>
      </c>
      <c r="D126" s="196">
        <f t="shared" si="30"/>
        <v>448014.92056977708</v>
      </c>
      <c r="E126" s="274">
        <f>266951.23+7930</f>
        <v>274881.23</v>
      </c>
      <c r="F126" s="304">
        <f t="shared" si="62"/>
        <v>344.09249999999997</v>
      </c>
      <c r="G126" s="334">
        <f t="shared" si="37"/>
        <v>172046.25</v>
      </c>
      <c r="H126" s="335">
        <f t="shared" si="38"/>
        <v>343185</v>
      </c>
      <c r="I126" s="200">
        <v>345000</v>
      </c>
      <c r="J126" s="307">
        <v>750</v>
      </c>
      <c r="K126" s="43">
        <f t="shared" si="47"/>
        <v>688.18499999999995</v>
      </c>
      <c r="L126" s="200">
        <v>688185</v>
      </c>
      <c r="M126" s="196">
        <f t="shared" si="45"/>
        <v>0</v>
      </c>
      <c r="N126" s="36">
        <f t="shared" si="61"/>
        <v>0</v>
      </c>
      <c r="O126" s="407">
        <f t="shared" si="31"/>
        <v>0</v>
      </c>
      <c r="P126" s="408">
        <f t="shared" si="54"/>
        <v>0</v>
      </c>
      <c r="Q126" s="308">
        <f t="shared" si="33"/>
        <v>0</v>
      </c>
      <c r="R126" s="43">
        <f t="shared" si="58"/>
        <v>0</v>
      </c>
      <c r="S126" s="200"/>
      <c r="T126" s="266"/>
      <c r="U126" s="227">
        <f t="shared" si="43"/>
        <v>173133.6905697771</v>
      </c>
      <c r="V126" s="36">
        <f t="shared" si="59"/>
        <v>448.01492056977708</v>
      </c>
      <c r="W126" s="36">
        <f t="shared" si="60"/>
        <v>344.09249999999997</v>
      </c>
      <c r="X126" s="248">
        <f t="shared" si="63"/>
        <v>750</v>
      </c>
      <c r="Y126" s="43">
        <f t="shared" si="63"/>
        <v>688.18499999999995</v>
      </c>
      <c r="Z126" s="250">
        <f t="shared" si="55"/>
        <v>0</v>
      </c>
      <c r="AA126" s="174">
        <f t="shared" si="56"/>
        <v>0</v>
      </c>
      <c r="AB126" s="252"/>
      <c r="AD126" s="252"/>
      <c r="AE126" s="386"/>
    </row>
    <row r="127" spans="1:32" s="117" customFormat="1" ht="9.9499999999999993" hidden="1" customHeight="1" x14ac:dyDescent="0.15">
      <c r="A127" s="144"/>
      <c r="B127" s="134"/>
      <c r="C127" s="145">
        <f t="shared" si="57"/>
        <v>0</v>
      </c>
      <c r="D127" s="195">
        <f t="shared" si="30"/>
        <v>0</v>
      </c>
      <c r="E127" s="274"/>
      <c r="F127" s="304">
        <f t="shared" si="62"/>
        <v>0</v>
      </c>
      <c r="G127" s="258">
        <f t="shared" si="37"/>
        <v>0</v>
      </c>
      <c r="H127" s="246">
        <f t="shared" si="38"/>
        <v>0</v>
      </c>
      <c r="I127" s="198">
        <f t="shared" si="53"/>
        <v>0</v>
      </c>
      <c r="J127" s="305">
        <f t="shared" si="40"/>
        <v>0</v>
      </c>
      <c r="K127" s="43">
        <f t="shared" si="47"/>
        <v>0</v>
      </c>
      <c r="L127" s="200"/>
      <c r="M127" s="196">
        <f t="shared" si="45"/>
        <v>0</v>
      </c>
      <c r="N127" s="33">
        <f t="shared" si="61"/>
        <v>0</v>
      </c>
      <c r="O127" s="405">
        <f t="shared" si="31"/>
        <v>0</v>
      </c>
      <c r="P127" s="406">
        <f t="shared" si="54"/>
        <v>0</v>
      </c>
      <c r="Q127" s="309">
        <f t="shared" si="33"/>
        <v>0</v>
      </c>
      <c r="R127" s="43">
        <f t="shared" si="58"/>
        <v>0</v>
      </c>
      <c r="S127" s="200"/>
      <c r="T127" s="266"/>
      <c r="U127" s="227">
        <f t="shared" si="43"/>
        <v>0</v>
      </c>
      <c r="V127" s="36">
        <f t="shared" si="59"/>
        <v>0</v>
      </c>
      <c r="W127" s="36">
        <f t="shared" si="60"/>
        <v>0</v>
      </c>
      <c r="X127" s="248">
        <f t="shared" si="63"/>
        <v>0</v>
      </c>
      <c r="Y127" s="43">
        <f t="shared" si="63"/>
        <v>0</v>
      </c>
      <c r="Z127" s="250">
        <f t="shared" si="55"/>
        <v>0</v>
      </c>
      <c r="AA127" s="174">
        <f t="shared" si="56"/>
        <v>0</v>
      </c>
      <c r="AB127" s="252"/>
      <c r="AD127" s="252"/>
    </row>
    <row r="128" spans="1:32" s="117" customFormat="1" ht="9.9499999999999993" hidden="1" customHeight="1" x14ac:dyDescent="0.15">
      <c r="A128" s="144"/>
      <c r="B128" s="134"/>
      <c r="C128" s="145">
        <f t="shared" si="57"/>
        <v>0</v>
      </c>
      <c r="D128" s="195">
        <f t="shared" si="30"/>
        <v>0</v>
      </c>
      <c r="E128" s="274"/>
      <c r="F128" s="304">
        <f t="shared" si="62"/>
        <v>0</v>
      </c>
      <c r="G128" s="258">
        <f t="shared" si="37"/>
        <v>0</v>
      </c>
      <c r="H128" s="246">
        <f t="shared" si="38"/>
        <v>0</v>
      </c>
      <c r="I128" s="198">
        <f t="shared" si="53"/>
        <v>0</v>
      </c>
      <c r="J128" s="305">
        <f t="shared" si="40"/>
        <v>0</v>
      </c>
      <c r="K128" s="43">
        <f t="shared" si="47"/>
        <v>0</v>
      </c>
      <c r="L128" s="200"/>
      <c r="M128" s="196">
        <f t="shared" si="45"/>
        <v>0</v>
      </c>
      <c r="N128" s="33">
        <f t="shared" si="61"/>
        <v>0</v>
      </c>
      <c r="O128" s="405">
        <f t="shared" si="31"/>
        <v>0</v>
      </c>
      <c r="P128" s="406">
        <f t="shared" si="54"/>
        <v>0</v>
      </c>
      <c r="Q128" s="309">
        <f t="shared" si="33"/>
        <v>0</v>
      </c>
      <c r="R128" s="43">
        <f t="shared" si="58"/>
        <v>0</v>
      </c>
      <c r="S128" s="200"/>
      <c r="T128" s="266"/>
      <c r="U128" s="227">
        <f t="shared" si="43"/>
        <v>0</v>
      </c>
      <c r="V128" s="36">
        <f t="shared" si="59"/>
        <v>0</v>
      </c>
      <c r="W128" s="36">
        <f t="shared" si="60"/>
        <v>0</v>
      </c>
      <c r="X128" s="248">
        <f t="shared" si="63"/>
        <v>0</v>
      </c>
      <c r="Y128" s="43">
        <f t="shared" si="63"/>
        <v>0</v>
      </c>
      <c r="Z128" s="250">
        <f t="shared" si="55"/>
        <v>0</v>
      </c>
      <c r="AA128" s="174">
        <f t="shared" si="56"/>
        <v>0</v>
      </c>
      <c r="AB128" s="252"/>
      <c r="AD128" s="252"/>
    </row>
    <row r="129" spans="1:193" s="117" customFormat="1" ht="9.9499999999999993" hidden="1" customHeight="1" x14ac:dyDescent="0.15">
      <c r="A129" s="144"/>
      <c r="B129" s="134"/>
      <c r="C129" s="145"/>
      <c r="D129" s="195"/>
      <c r="E129" s="274"/>
      <c r="F129" s="304">
        <f t="shared" si="62"/>
        <v>0</v>
      </c>
      <c r="G129" s="258"/>
      <c r="H129" s="246"/>
      <c r="I129" s="198">
        <f t="shared" si="53"/>
        <v>0</v>
      </c>
      <c r="J129" s="305">
        <f t="shared" si="40"/>
        <v>0</v>
      </c>
      <c r="K129" s="43"/>
      <c r="L129" s="200"/>
      <c r="M129" s="196"/>
      <c r="N129" s="33">
        <f t="shared" si="61"/>
        <v>0</v>
      </c>
      <c r="O129" s="405">
        <f t="shared" si="31"/>
        <v>0</v>
      </c>
      <c r="P129" s="406">
        <f t="shared" si="54"/>
        <v>0</v>
      </c>
      <c r="Q129" s="309">
        <f t="shared" si="33"/>
        <v>0</v>
      </c>
      <c r="R129" s="43"/>
      <c r="S129" s="200"/>
      <c r="T129" s="266"/>
      <c r="U129" s="227"/>
      <c r="V129" s="36"/>
      <c r="W129" s="36"/>
      <c r="X129" s="248"/>
      <c r="Y129" s="43"/>
      <c r="Z129" s="250">
        <f t="shared" si="55"/>
        <v>0</v>
      </c>
      <c r="AA129" s="174">
        <f t="shared" si="56"/>
        <v>0</v>
      </c>
      <c r="AB129" s="252"/>
      <c r="AD129" s="252"/>
    </row>
    <row r="130" spans="1:193" s="117" customFormat="1" ht="9.9499999999999993" hidden="1" customHeight="1" x14ac:dyDescent="0.15">
      <c r="A130" s="144"/>
      <c r="B130" s="134"/>
      <c r="C130" s="145"/>
      <c r="D130" s="195"/>
      <c r="E130" s="274"/>
      <c r="F130" s="304">
        <f t="shared" si="62"/>
        <v>0</v>
      </c>
      <c r="G130" s="258"/>
      <c r="H130" s="246"/>
      <c r="I130" s="198">
        <f t="shared" si="53"/>
        <v>0</v>
      </c>
      <c r="J130" s="305">
        <f t="shared" si="40"/>
        <v>0</v>
      </c>
      <c r="K130" s="43"/>
      <c r="L130" s="200"/>
      <c r="M130" s="196"/>
      <c r="N130" s="33">
        <f t="shared" si="61"/>
        <v>0</v>
      </c>
      <c r="O130" s="405">
        <f t="shared" si="31"/>
        <v>0</v>
      </c>
      <c r="P130" s="406"/>
      <c r="Q130" s="309">
        <f t="shared" si="33"/>
        <v>0</v>
      </c>
      <c r="R130" s="43"/>
      <c r="S130" s="200"/>
      <c r="T130" s="266"/>
      <c r="U130" s="227"/>
      <c r="V130" s="36"/>
      <c r="W130" s="36"/>
      <c r="X130" s="248"/>
      <c r="Y130" s="43"/>
      <c r="Z130" s="250">
        <f t="shared" si="55"/>
        <v>0</v>
      </c>
      <c r="AA130" s="174">
        <f t="shared" si="56"/>
        <v>0</v>
      </c>
      <c r="AB130" s="252"/>
      <c r="AD130" s="252"/>
    </row>
    <row r="131" spans="1:193" s="117" customFormat="1" ht="9.9499999999999993" hidden="1" customHeight="1" x14ac:dyDescent="0.15">
      <c r="A131" s="144">
        <v>0</v>
      </c>
      <c r="B131" s="134">
        <v>0</v>
      </c>
      <c r="C131" s="145">
        <f t="shared" si="57"/>
        <v>0</v>
      </c>
      <c r="D131" s="195">
        <f t="shared" si="30"/>
        <v>0</v>
      </c>
      <c r="E131" s="274"/>
      <c r="F131" s="304">
        <f t="shared" si="62"/>
        <v>0</v>
      </c>
      <c r="G131" s="258">
        <f t="shared" si="37"/>
        <v>0</v>
      </c>
      <c r="H131" s="246">
        <f t="shared" si="38"/>
        <v>0</v>
      </c>
      <c r="I131" s="198">
        <f t="shared" si="53"/>
        <v>0</v>
      </c>
      <c r="J131" s="305">
        <f t="shared" si="40"/>
        <v>0</v>
      </c>
      <c r="K131" s="43">
        <f t="shared" si="47"/>
        <v>0</v>
      </c>
      <c r="L131" s="200"/>
      <c r="M131" s="196">
        <f t="shared" si="45"/>
        <v>0</v>
      </c>
      <c r="N131" s="33">
        <f t="shared" si="61"/>
        <v>0</v>
      </c>
      <c r="O131" s="405">
        <f t="shared" si="31"/>
        <v>0</v>
      </c>
      <c r="P131" s="406">
        <f t="shared" si="54"/>
        <v>0</v>
      </c>
      <c r="Q131" s="309">
        <f t="shared" si="33"/>
        <v>0</v>
      </c>
      <c r="R131" s="43">
        <f t="shared" si="58"/>
        <v>0</v>
      </c>
      <c r="S131" s="200"/>
      <c r="T131" s="266"/>
      <c r="U131" s="210">
        <f t="shared" si="43"/>
        <v>0</v>
      </c>
      <c r="V131" s="36">
        <f t="shared" si="59"/>
        <v>0</v>
      </c>
      <c r="W131" s="36">
        <f t="shared" si="60"/>
        <v>0</v>
      </c>
      <c r="X131" s="248">
        <f t="shared" si="63"/>
        <v>0</v>
      </c>
      <c r="Y131" s="43">
        <f t="shared" si="63"/>
        <v>0</v>
      </c>
      <c r="Z131" s="250">
        <f t="shared" si="55"/>
        <v>0</v>
      </c>
      <c r="AA131" s="174">
        <f t="shared" si="56"/>
        <v>0</v>
      </c>
      <c r="AB131" s="252"/>
      <c r="AD131" s="252"/>
    </row>
    <row r="132" spans="1:193" s="117" customFormat="1" ht="9.9499999999999993" hidden="1" customHeight="1" x14ac:dyDescent="0.15">
      <c r="A132" s="144">
        <v>0</v>
      </c>
      <c r="B132" s="134">
        <v>0</v>
      </c>
      <c r="C132" s="145">
        <f t="shared" si="57"/>
        <v>0</v>
      </c>
      <c r="D132" s="195">
        <f t="shared" si="30"/>
        <v>0</v>
      </c>
      <c r="E132" s="274"/>
      <c r="F132" s="304">
        <f t="shared" si="62"/>
        <v>0</v>
      </c>
      <c r="G132" s="258">
        <f t="shared" si="37"/>
        <v>0</v>
      </c>
      <c r="H132" s="246">
        <f t="shared" si="38"/>
        <v>0</v>
      </c>
      <c r="I132" s="198">
        <f t="shared" si="53"/>
        <v>0</v>
      </c>
      <c r="J132" s="305">
        <f t="shared" si="40"/>
        <v>0</v>
      </c>
      <c r="K132" s="43"/>
      <c r="L132" s="200"/>
      <c r="M132" s="196"/>
      <c r="N132" s="33">
        <f t="shared" si="61"/>
        <v>0</v>
      </c>
      <c r="O132" s="405">
        <f t="shared" si="31"/>
        <v>0</v>
      </c>
      <c r="P132" s="406">
        <f t="shared" si="54"/>
        <v>0</v>
      </c>
      <c r="Q132" s="309">
        <f t="shared" si="33"/>
        <v>0</v>
      </c>
      <c r="R132" s="43"/>
      <c r="S132" s="200"/>
      <c r="T132" s="266"/>
      <c r="U132" s="210">
        <f t="shared" si="43"/>
        <v>0</v>
      </c>
      <c r="V132" s="36"/>
      <c r="W132" s="36"/>
      <c r="X132" s="248"/>
      <c r="Y132" s="43"/>
      <c r="Z132" s="250">
        <f t="shared" si="55"/>
        <v>0</v>
      </c>
      <c r="AA132" s="174">
        <f t="shared" si="56"/>
        <v>0</v>
      </c>
      <c r="AB132" s="252"/>
      <c r="AD132" s="252"/>
    </row>
    <row r="133" spans="1:193" s="117" customFormat="1" ht="9.9499999999999993" hidden="1" customHeight="1" x14ac:dyDescent="0.15">
      <c r="A133" s="144">
        <v>0</v>
      </c>
      <c r="B133" s="134">
        <v>0</v>
      </c>
      <c r="C133" s="145">
        <f t="shared" si="57"/>
        <v>0</v>
      </c>
      <c r="D133" s="195">
        <f t="shared" si="30"/>
        <v>0</v>
      </c>
      <c r="E133" s="274"/>
      <c r="F133" s="304">
        <f t="shared" si="62"/>
        <v>0</v>
      </c>
      <c r="G133" s="258">
        <f t="shared" si="37"/>
        <v>0</v>
      </c>
      <c r="H133" s="246">
        <f t="shared" si="38"/>
        <v>0</v>
      </c>
      <c r="I133" s="198">
        <f t="shared" si="53"/>
        <v>0</v>
      </c>
      <c r="J133" s="305">
        <f t="shared" si="40"/>
        <v>0</v>
      </c>
      <c r="K133" s="43">
        <f t="shared" si="47"/>
        <v>0</v>
      </c>
      <c r="L133" s="200"/>
      <c r="M133" s="196">
        <f t="shared" si="45"/>
        <v>0</v>
      </c>
      <c r="N133" s="33">
        <f t="shared" si="61"/>
        <v>0</v>
      </c>
      <c r="O133" s="405">
        <f t="shared" si="31"/>
        <v>0</v>
      </c>
      <c r="P133" s="406">
        <f t="shared" si="54"/>
        <v>0</v>
      </c>
      <c r="Q133" s="309">
        <f t="shared" si="33"/>
        <v>0</v>
      </c>
      <c r="R133" s="43">
        <f t="shared" si="58"/>
        <v>0</v>
      </c>
      <c r="S133" s="200"/>
      <c r="T133" s="266"/>
      <c r="U133" s="210">
        <f t="shared" si="43"/>
        <v>0</v>
      </c>
      <c r="V133" s="36">
        <f t="shared" si="59"/>
        <v>0</v>
      </c>
      <c r="W133" s="36">
        <f t="shared" si="60"/>
        <v>0</v>
      </c>
      <c r="X133" s="248">
        <f t="shared" si="63"/>
        <v>0</v>
      </c>
      <c r="Y133" s="43">
        <f t="shared" si="63"/>
        <v>0</v>
      </c>
      <c r="Z133" s="250">
        <f t="shared" si="55"/>
        <v>0</v>
      </c>
      <c r="AA133" s="174">
        <f t="shared" si="56"/>
        <v>0</v>
      </c>
      <c r="AB133" s="252"/>
      <c r="AD133" s="252"/>
    </row>
    <row r="134" spans="1:193" s="117" customFormat="1" ht="9.9499999999999993" hidden="1" customHeight="1" x14ac:dyDescent="0.15">
      <c r="A134" s="144">
        <v>0</v>
      </c>
      <c r="B134" s="134">
        <v>0</v>
      </c>
      <c r="C134" s="145"/>
      <c r="D134" s="195">
        <f t="shared" si="30"/>
        <v>0</v>
      </c>
      <c r="E134" s="274"/>
      <c r="F134" s="304">
        <f t="shared" si="62"/>
        <v>0</v>
      </c>
      <c r="G134" s="258">
        <f t="shared" si="37"/>
        <v>0</v>
      </c>
      <c r="H134" s="246">
        <f t="shared" si="38"/>
        <v>0</v>
      </c>
      <c r="I134" s="198">
        <f t="shared" si="53"/>
        <v>0</v>
      </c>
      <c r="J134" s="305">
        <f t="shared" si="40"/>
        <v>0</v>
      </c>
      <c r="K134" s="43">
        <f t="shared" si="47"/>
        <v>0</v>
      </c>
      <c r="L134" s="200"/>
      <c r="M134" s="196">
        <f t="shared" si="45"/>
        <v>0</v>
      </c>
      <c r="N134" s="33">
        <f t="shared" si="61"/>
        <v>0</v>
      </c>
      <c r="O134" s="405">
        <f t="shared" si="31"/>
        <v>0</v>
      </c>
      <c r="P134" s="406">
        <f t="shared" si="54"/>
        <v>0</v>
      </c>
      <c r="Q134" s="309">
        <f t="shared" si="33"/>
        <v>0</v>
      </c>
      <c r="R134" s="43"/>
      <c r="S134" s="200"/>
      <c r="T134" s="266"/>
      <c r="U134" s="210">
        <f t="shared" si="43"/>
        <v>0</v>
      </c>
      <c r="V134" s="36">
        <f t="shared" si="59"/>
        <v>0</v>
      </c>
      <c r="W134" s="36">
        <f t="shared" si="60"/>
        <v>0</v>
      </c>
      <c r="X134" s="248">
        <f t="shared" si="63"/>
        <v>0</v>
      </c>
      <c r="Y134" s="43">
        <f t="shared" si="63"/>
        <v>0</v>
      </c>
      <c r="Z134" s="250">
        <f t="shared" si="55"/>
        <v>0</v>
      </c>
      <c r="AA134" s="174">
        <f t="shared" si="56"/>
        <v>0</v>
      </c>
      <c r="AB134" s="252"/>
      <c r="AD134" s="252"/>
    </row>
    <row r="135" spans="1:193" s="118" customFormat="1" ht="9.9499999999999993" hidden="1" customHeight="1" x14ac:dyDescent="0.15">
      <c r="A135" s="144"/>
      <c r="B135" s="134"/>
      <c r="C135" s="145">
        <f t="shared" si="57"/>
        <v>0</v>
      </c>
      <c r="D135" s="195">
        <f t="shared" si="30"/>
        <v>0</v>
      </c>
      <c r="E135" s="274"/>
      <c r="F135" s="304">
        <f t="shared" si="62"/>
        <v>0</v>
      </c>
      <c r="G135" s="258">
        <f t="shared" si="37"/>
        <v>0</v>
      </c>
      <c r="H135" s="246">
        <f t="shared" si="38"/>
        <v>0</v>
      </c>
      <c r="I135" s="198">
        <f t="shared" si="53"/>
        <v>0</v>
      </c>
      <c r="J135" s="305">
        <f t="shared" si="40"/>
        <v>0</v>
      </c>
      <c r="K135" s="41">
        <f t="shared" si="47"/>
        <v>0</v>
      </c>
      <c r="L135" s="200"/>
      <c r="M135" s="195">
        <f t="shared" si="45"/>
        <v>0</v>
      </c>
      <c r="N135" s="33">
        <f t="shared" si="61"/>
        <v>0</v>
      </c>
      <c r="O135" s="405">
        <f t="shared" si="31"/>
        <v>0</v>
      </c>
      <c r="P135" s="406">
        <f t="shared" si="54"/>
        <v>0</v>
      </c>
      <c r="Q135" s="309">
        <f t="shared" si="33"/>
        <v>0</v>
      </c>
      <c r="R135" s="43">
        <f t="shared" si="58"/>
        <v>0</v>
      </c>
      <c r="S135" s="200"/>
      <c r="T135" s="266"/>
      <c r="U135" s="210">
        <f t="shared" si="43"/>
        <v>0</v>
      </c>
      <c r="V135" s="36">
        <f t="shared" si="59"/>
        <v>0</v>
      </c>
      <c r="W135" s="36">
        <f t="shared" si="60"/>
        <v>0</v>
      </c>
      <c r="X135" s="248">
        <f t="shared" si="63"/>
        <v>0</v>
      </c>
      <c r="Y135" s="43">
        <f t="shared" si="63"/>
        <v>0</v>
      </c>
      <c r="Z135" s="250">
        <f t="shared" si="55"/>
        <v>3429.8693435590426</v>
      </c>
      <c r="AA135" s="174">
        <f t="shared" si="56"/>
        <v>49.861249999999998</v>
      </c>
      <c r="AB135" s="252"/>
      <c r="AD135" s="252"/>
    </row>
    <row r="136" spans="1:193" s="117" customFormat="1" ht="9.9499999999999993" customHeight="1" x14ac:dyDescent="0.15">
      <c r="A136" s="152" t="s">
        <v>403</v>
      </c>
      <c r="B136" s="125">
        <f>SUM(B137:B145)</f>
        <v>4.1499999999999995</v>
      </c>
      <c r="C136" s="140">
        <f t="shared" si="57"/>
        <v>3053.8266564409582</v>
      </c>
      <c r="D136" s="195">
        <f>E136+U136</f>
        <v>3053826.6564409584</v>
      </c>
      <c r="E136" s="247">
        <f>SUM(E137:E144)</f>
        <v>1856318.63</v>
      </c>
      <c r="F136" s="301">
        <f t="shared" si="62"/>
        <v>3241.848</v>
      </c>
      <c r="G136" s="258">
        <f t="shared" si="37"/>
        <v>1620924</v>
      </c>
      <c r="H136" s="246">
        <f t="shared" si="38"/>
        <v>2373696</v>
      </c>
      <c r="I136" s="198">
        <f>SUM(I137:I144)</f>
        <v>4110000</v>
      </c>
      <c r="J136" s="305">
        <f>SUM(J137:J144)</f>
        <v>6483.6960000000008</v>
      </c>
      <c r="K136" s="41">
        <f t="shared" si="47"/>
        <v>6483.6959999999999</v>
      </c>
      <c r="L136" s="198">
        <f>SUM(L137:L145)</f>
        <v>6483696</v>
      </c>
      <c r="M136" s="195">
        <f t="shared" si="45"/>
        <v>-2.1387499999999999</v>
      </c>
      <c r="N136" s="33">
        <f t="shared" si="61"/>
        <v>0</v>
      </c>
      <c r="O136" s="405">
        <f>R136/2</f>
        <v>-25</v>
      </c>
      <c r="P136" s="406">
        <f t="shared" si="54"/>
        <v>37500</v>
      </c>
      <c r="Q136" s="309">
        <f>Q137+Q138+Q139+Q140+Q141+Q142+Q143+Q144</f>
        <v>-52</v>
      </c>
      <c r="R136" s="41">
        <f t="shared" si="58"/>
        <v>-50</v>
      </c>
      <c r="S136" s="198">
        <f>SUM(S137:S144)</f>
        <v>50000</v>
      </c>
      <c r="T136" s="265">
        <f>SUM(T137:T144)</f>
        <v>2138.75</v>
      </c>
      <c r="U136" s="210">
        <f>SUM(U137:U144)</f>
        <v>1197508.0264409583</v>
      </c>
      <c r="V136" s="33">
        <f t="shared" si="59"/>
        <v>3051.6879064409582</v>
      </c>
      <c r="W136" s="33">
        <f t="shared" si="60"/>
        <v>3216.848</v>
      </c>
      <c r="X136" s="306">
        <f>SUM(X137:X144)</f>
        <v>6431.6960000000008</v>
      </c>
      <c r="Y136" s="41">
        <f t="shared" si="63"/>
        <v>6433.6959999999999</v>
      </c>
      <c r="Z136" s="250">
        <f t="shared" si="55"/>
        <v>1165.8614399999999</v>
      </c>
      <c r="AA136" s="174">
        <f t="shared" si="56"/>
        <v>-0.13874999999999993</v>
      </c>
      <c r="AB136" s="252"/>
      <c r="AD136" s="252"/>
    </row>
    <row r="137" spans="1:193" s="117" customFormat="1" ht="9.9499999999999993" customHeight="1" x14ac:dyDescent="0.15">
      <c r="A137" s="144" t="s">
        <v>404</v>
      </c>
      <c r="B137" s="134">
        <v>0</v>
      </c>
      <c r="C137" s="145">
        <f t="shared" si="57"/>
        <v>834.1385600000001</v>
      </c>
      <c r="D137" s="196">
        <f t="shared" si="30"/>
        <v>834138.56</v>
      </c>
      <c r="E137" s="274">
        <f>822566.65+11571.91</f>
        <v>834138.56</v>
      </c>
      <c r="F137" s="304">
        <f t="shared" si="62"/>
        <v>1000</v>
      </c>
      <c r="G137" s="313">
        <f t="shared" si="37"/>
        <v>500000</v>
      </c>
      <c r="H137" s="335">
        <f t="shared" si="38"/>
        <v>0</v>
      </c>
      <c r="I137" s="200">
        <f t="shared" si="53"/>
        <v>2000000</v>
      </c>
      <c r="J137" s="307">
        <f t="shared" si="40"/>
        <v>2000</v>
      </c>
      <c r="K137" s="43">
        <f t="shared" si="47"/>
        <v>2000</v>
      </c>
      <c r="L137" s="200">
        <v>2000000</v>
      </c>
      <c r="M137" s="196">
        <f t="shared" si="45"/>
        <v>-2.1387499999999999</v>
      </c>
      <c r="N137" s="36">
        <f t="shared" si="61"/>
        <v>0</v>
      </c>
      <c r="O137" s="407">
        <f t="shared" si="31"/>
        <v>0</v>
      </c>
      <c r="P137" s="408">
        <f t="shared" si="54"/>
        <v>0</v>
      </c>
      <c r="Q137" s="308">
        <v>-2</v>
      </c>
      <c r="R137" s="43">
        <f t="shared" si="58"/>
        <v>0</v>
      </c>
      <c r="S137" s="200"/>
      <c r="T137" s="266">
        <v>2138.75</v>
      </c>
      <c r="U137" s="227">
        <f t="shared" si="43"/>
        <v>0</v>
      </c>
      <c r="V137" s="36">
        <f t="shared" si="59"/>
        <v>831.99981000000014</v>
      </c>
      <c r="W137" s="36">
        <f t="shared" si="60"/>
        <v>1000</v>
      </c>
      <c r="X137" s="248">
        <f t="shared" si="63"/>
        <v>1998</v>
      </c>
      <c r="Y137" s="43">
        <f t="shared" si="63"/>
        <v>2000</v>
      </c>
      <c r="Z137" s="250">
        <f t="shared" si="55"/>
        <v>95.880249810074304</v>
      </c>
      <c r="AA137" s="174">
        <f t="shared" si="56"/>
        <v>0</v>
      </c>
      <c r="AB137" s="252"/>
      <c r="AD137" s="252"/>
    </row>
    <row r="138" spans="1:193" s="117" customFormat="1" ht="9.9499999999999993" customHeight="1" x14ac:dyDescent="0.15">
      <c r="A138" s="144" t="s">
        <v>405</v>
      </c>
      <c r="B138" s="134">
        <v>0.2</v>
      </c>
      <c r="C138" s="145">
        <f t="shared" si="57"/>
        <v>193.51475018992568</v>
      </c>
      <c r="D138" s="196">
        <f t="shared" si="30"/>
        <v>193514.75018992569</v>
      </c>
      <c r="E138" s="274">
        <v>135803.51999999999</v>
      </c>
      <c r="F138" s="304">
        <f t="shared" si="62"/>
        <v>144.69749999999999</v>
      </c>
      <c r="G138" s="313">
        <f t="shared" si="37"/>
        <v>72348.75</v>
      </c>
      <c r="H138" s="335">
        <f t="shared" si="38"/>
        <v>114395</v>
      </c>
      <c r="I138" s="200">
        <v>175000</v>
      </c>
      <c r="J138" s="307">
        <f t="shared" si="40"/>
        <v>289.39499999999998</v>
      </c>
      <c r="K138" s="43">
        <f t="shared" si="47"/>
        <v>289.39499999999998</v>
      </c>
      <c r="L138" s="200">
        <v>289395</v>
      </c>
      <c r="M138" s="196">
        <f t="shared" si="45"/>
        <v>0</v>
      </c>
      <c r="N138" s="36">
        <f t="shared" si="61"/>
        <v>0</v>
      </c>
      <c r="O138" s="407">
        <f t="shared" si="31"/>
        <v>0</v>
      </c>
      <c r="P138" s="408">
        <f t="shared" si="54"/>
        <v>0</v>
      </c>
      <c r="Q138" s="308">
        <f t="shared" si="33"/>
        <v>0</v>
      </c>
      <c r="R138" s="43">
        <f t="shared" si="58"/>
        <v>0</v>
      </c>
      <c r="S138" s="200"/>
      <c r="T138" s="266"/>
      <c r="U138" s="227">
        <f t="shared" si="43"/>
        <v>57711.2301899257</v>
      </c>
      <c r="V138" s="36">
        <f t="shared" si="59"/>
        <v>193.51475018992568</v>
      </c>
      <c r="W138" s="36">
        <f t="shared" si="60"/>
        <v>144.69749999999999</v>
      </c>
      <c r="X138" s="248">
        <f t="shared" si="63"/>
        <v>289.39499999999998</v>
      </c>
      <c r="Y138" s="43">
        <f t="shared" si="63"/>
        <v>289.39499999999998</v>
      </c>
      <c r="Z138" s="250">
        <f t="shared" si="55"/>
        <v>102.83035981007427</v>
      </c>
      <c r="AA138" s="174">
        <f t="shared" si="56"/>
        <v>0</v>
      </c>
      <c r="AB138" s="252"/>
      <c r="AD138" s="252"/>
    </row>
    <row r="139" spans="1:193" s="117" customFormat="1" ht="9.9499999999999993" customHeight="1" x14ac:dyDescent="0.15">
      <c r="A139" s="144" t="s">
        <v>406</v>
      </c>
      <c r="B139" s="134">
        <v>0.2</v>
      </c>
      <c r="C139" s="145">
        <f t="shared" si="57"/>
        <v>161.56464018992571</v>
      </c>
      <c r="D139" s="196">
        <f t="shared" si="30"/>
        <v>161564.6401899257</v>
      </c>
      <c r="E139" s="274">
        <v>103853.41</v>
      </c>
      <c r="F139" s="304">
        <f t="shared" si="62"/>
        <v>132.19749999999999</v>
      </c>
      <c r="G139" s="313">
        <f t="shared" si="37"/>
        <v>66098.75</v>
      </c>
      <c r="H139" s="335">
        <f t="shared" si="38"/>
        <v>114395</v>
      </c>
      <c r="I139" s="200">
        <v>150000</v>
      </c>
      <c r="J139" s="307">
        <f t="shared" si="40"/>
        <v>264.39499999999998</v>
      </c>
      <c r="K139" s="43">
        <f t="shared" si="47"/>
        <v>264.39499999999998</v>
      </c>
      <c r="L139" s="200">
        <v>264395</v>
      </c>
      <c r="M139" s="196">
        <f t="shared" si="45"/>
        <v>0</v>
      </c>
      <c r="N139" s="36">
        <f>N145</f>
        <v>0</v>
      </c>
      <c r="O139" s="407">
        <f t="shared" si="31"/>
        <v>0</v>
      </c>
      <c r="P139" s="408">
        <f t="shared" si="54"/>
        <v>0</v>
      </c>
      <c r="Q139" s="308">
        <f t="shared" si="33"/>
        <v>0</v>
      </c>
      <c r="R139" s="43">
        <f t="shared" si="58"/>
        <v>0</v>
      </c>
      <c r="S139" s="200"/>
      <c r="T139" s="266"/>
      <c r="U139" s="227">
        <f t="shared" si="43"/>
        <v>57711.2301899257</v>
      </c>
      <c r="V139" s="36">
        <f t="shared" si="59"/>
        <v>161.56464018992571</v>
      </c>
      <c r="W139" s="36">
        <f t="shared" si="60"/>
        <v>132.19749999999999</v>
      </c>
      <c r="X139" s="248">
        <f t="shared" si="63"/>
        <v>264.39499999999998</v>
      </c>
      <c r="Y139" s="43">
        <f t="shared" si="63"/>
        <v>264.39499999999998</v>
      </c>
      <c r="Z139" s="250">
        <f t="shared" si="55"/>
        <v>17.923279999999998</v>
      </c>
      <c r="AA139" s="174">
        <f t="shared" si="56"/>
        <v>0</v>
      </c>
      <c r="AB139" s="252"/>
      <c r="AD139" s="252"/>
    </row>
    <row r="140" spans="1:193" s="117" customFormat="1" ht="9.9499999999999993" customHeight="1" x14ac:dyDescent="0.15">
      <c r="A140" s="144" t="s">
        <v>407</v>
      </c>
      <c r="B140" s="134">
        <v>0</v>
      </c>
      <c r="C140" s="145">
        <f t="shared" si="57"/>
        <v>42.076720000000002</v>
      </c>
      <c r="D140" s="196">
        <f t="shared" si="30"/>
        <v>42076.72</v>
      </c>
      <c r="E140" s="274">
        <v>42076.72</v>
      </c>
      <c r="F140" s="304">
        <f t="shared" si="62"/>
        <v>30</v>
      </c>
      <c r="G140" s="313">
        <f t="shared" si="37"/>
        <v>15000</v>
      </c>
      <c r="H140" s="335">
        <f t="shared" si="38"/>
        <v>0</v>
      </c>
      <c r="I140" s="200">
        <v>60000</v>
      </c>
      <c r="J140" s="307">
        <f t="shared" si="40"/>
        <v>60</v>
      </c>
      <c r="K140" s="43">
        <f t="shared" si="47"/>
        <v>60</v>
      </c>
      <c r="L140" s="200">
        <v>60000</v>
      </c>
      <c r="M140" s="196">
        <f t="shared" si="45"/>
        <v>0</v>
      </c>
      <c r="N140" s="36">
        <f t="shared" si="61"/>
        <v>0</v>
      </c>
      <c r="O140" s="407">
        <f t="shared" si="31"/>
        <v>0</v>
      </c>
      <c r="P140" s="408">
        <f t="shared" si="54"/>
        <v>0</v>
      </c>
      <c r="Q140" s="308">
        <f t="shared" si="33"/>
        <v>0</v>
      </c>
      <c r="R140" s="43">
        <f t="shared" si="58"/>
        <v>0</v>
      </c>
      <c r="S140" s="200"/>
      <c r="T140" s="266"/>
      <c r="U140" s="227">
        <f t="shared" si="43"/>
        <v>0</v>
      </c>
      <c r="V140" s="36">
        <f t="shared" si="59"/>
        <v>42.076720000000002</v>
      </c>
      <c r="W140" s="36">
        <f t="shared" si="60"/>
        <v>30</v>
      </c>
      <c r="X140" s="248">
        <f t="shared" si="63"/>
        <v>60</v>
      </c>
      <c r="Y140" s="43">
        <f t="shared" si="63"/>
        <v>60</v>
      </c>
      <c r="Z140" s="250">
        <f t="shared" si="55"/>
        <v>1061.9984088604456</v>
      </c>
      <c r="AA140" s="174">
        <f t="shared" si="56"/>
        <v>0</v>
      </c>
      <c r="AB140" s="252"/>
      <c r="AD140" s="252"/>
    </row>
    <row r="141" spans="1:193" s="117" customFormat="1" ht="9.9499999999999993" customHeight="1" x14ac:dyDescent="0.15">
      <c r="A141" s="144" t="s">
        <v>408</v>
      </c>
      <c r="B141" s="134">
        <v>1.2</v>
      </c>
      <c r="C141" s="145">
        <f t="shared" si="57"/>
        <v>974.3715911395542</v>
      </c>
      <c r="D141" s="196">
        <f t="shared" si="30"/>
        <v>974371.59113955416</v>
      </c>
      <c r="E141" s="274">
        <v>628104.21</v>
      </c>
      <c r="F141" s="304">
        <f t="shared" si="62"/>
        <v>1018.1849999999999</v>
      </c>
      <c r="G141" s="313">
        <f t="shared" si="37"/>
        <v>509092.5</v>
      </c>
      <c r="H141" s="335">
        <f t="shared" si="38"/>
        <v>686370</v>
      </c>
      <c r="I141" s="200">
        <v>1350000</v>
      </c>
      <c r="J141" s="307">
        <f t="shared" si="40"/>
        <v>2036.37</v>
      </c>
      <c r="K141" s="43">
        <f t="shared" si="47"/>
        <v>2036.37</v>
      </c>
      <c r="L141" s="200">
        <v>2036370</v>
      </c>
      <c r="M141" s="196">
        <f t="shared" si="45"/>
        <v>0</v>
      </c>
      <c r="N141" s="36">
        <f t="shared" si="61"/>
        <v>0</v>
      </c>
      <c r="O141" s="407">
        <f t="shared" si="31"/>
        <v>0</v>
      </c>
      <c r="P141" s="408">
        <f t="shared" si="54"/>
        <v>0</v>
      </c>
      <c r="Q141" s="308">
        <f t="shared" si="33"/>
        <v>0</v>
      </c>
      <c r="R141" s="43">
        <f t="shared" si="58"/>
        <v>0</v>
      </c>
      <c r="S141" s="200"/>
      <c r="T141" s="266"/>
      <c r="U141" s="227">
        <f t="shared" si="43"/>
        <v>346267.3811395542</v>
      </c>
      <c r="V141" s="36">
        <f t="shared" si="59"/>
        <v>974.3715911395542</v>
      </c>
      <c r="W141" s="36">
        <f t="shared" si="60"/>
        <v>1018.1849999999999</v>
      </c>
      <c r="X141" s="248">
        <f t="shared" si="63"/>
        <v>2036.37</v>
      </c>
      <c r="Y141" s="43">
        <f t="shared" si="63"/>
        <v>2036.37</v>
      </c>
      <c r="Z141" s="250">
        <f t="shared" si="55"/>
        <v>366.53913659785292</v>
      </c>
      <c r="AA141" s="174">
        <f t="shared" si="56"/>
        <v>0</v>
      </c>
      <c r="AB141" s="252"/>
      <c r="AD141" s="252"/>
    </row>
    <row r="142" spans="1:193" s="117" customFormat="1" ht="9.9499999999999993" customHeight="1" x14ac:dyDescent="0.15">
      <c r="A142" s="144" t="s">
        <v>409</v>
      </c>
      <c r="B142" s="134">
        <v>0.95</v>
      </c>
      <c r="C142" s="145">
        <f t="shared" si="57"/>
        <v>301.83686340214706</v>
      </c>
      <c r="D142" s="196">
        <f t="shared" si="30"/>
        <v>301836.86340214708</v>
      </c>
      <c r="E142" s="274">
        <v>27708.52</v>
      </c>
      <c r="F142" s="304">
        <f t="shared" si="62"/>
        <v>334.18799999999999</v>
      </c>
      <c r="G142" s="313">
        <f t="shared" si="37"/>
        <v>167094</v>
      </c>
      <c r="H142" s="335">
        <f t="shared" si="38"/>
        <v>543376</v>
      </c>
      <c r="I142" s="200">
        <v>125000</v>
      </c>
      <c r="J142" s="307">
        <f>K142</f>
        <v>668.37599999999998</v>
      </c>
      <c r="K142" s="43">
        <f t="shared" si="47"/>
        <v>668.37599999999998</v>
      </c>
      <c r="L142" s="200">
        <v>668376</v>
      </c>
      <c r="M142" s="196">
        <f t="shared" si="45"/>
        <v>0</v>
      </c>
      <c r="N142" s="36">
        <f t="shared" si="61"/>
        <v>0</v>
      </c>
      <c r="O142" s="407">
        <f t="shared" ref="O142:O194" si="64">R142/4*1</f>
        <v>0</v>
      </c>
      <c r="P142" s="408">
        <f t="shared" si="54"/>
        <v>0</v>
      </c>
      <c r="Q142" s="308">
        <f t="shared" ref="Q142:Q194" si="65">R142</f>
        <v>0</v>
      </c>
      <c r="R142" s="43">
        <f t="shared" si="58"/>
        <v>0</v>
      </c>
      <c r="S142" s="200"/>
      <c r="T142" s="266"/>
      <c r="U142" s="227">
        <f t="shared" si="43"/>
        <v>274128.34340214706</v>
      </c>
      <c r="V142" s="36">
        <f t="shared" si="59"/>
        <v>301.83686340214706</v>
      </c>
      <c r="W142" s="36">
        <f t="shared" si="60"/>
        <v>334.18799999999999</v>
      </c>
      <c r="X142" s="248">
        <f t="shared" si="63"/>
        <v>668.37599999999998</v>
      </c>
      <c r="Y142" s="43">
        <f t="shared" si="63"/>
        <v>668.37599999999998</v>
      </c>
      <c r="Z142" s="250">
        <f t="shared" si="55"/>
        <v>491.5544786705201</v>
      </c>
      <c r="AA142" s="174">
        <f t="shared" si="56"/>
        <v>50</v>
      </c>
      <c r="AB142" s="252"/>
      <c r="AD142" s="252"/>
    </row>
    <row r="143" spans="1:193" s="117" customFormat="1" ht="9.9499999999999993" customHeight="1" x14ac:dyDescent="0.15">
      <c r="A143" s="144" t="s">
        <v>410</v>
      </c>
      <c r="B143" s="134">
        <v>1.4</v>
      </c>
      <c r="C143" s="145">
        <f t="shared" si="57"/>
        <v>434.21052132947989</v>
      </c>
      <c r="D143" s="196">
        <f t="shared" si="30"/>
        <v>434210.52132947987</v>
      </c>
      <c r="E143" s="274">
        <v>30231.91</v>
      </c>
      <c r="F143" s="304">
        <f t="shared" si="62"/>
        <v>462.88249999999999</v>
      </c>
      <c r="G143" s="313">
        <f t="shared" si="37"/>
        <v>231441.25</v>
      </c>
      <c r="H143" s="335">
        <f t="shared" si="38"/>
        <v>800765</v>
      </c>
      <c r="I143" s="200">
        <v>125000</v>
      </c>
      <c r="J143" s="307">
        <f t="shared" ref="J143:J176" si="66">K143</f>
        <v>925.76499999999999</v>
      </c>
      <c r="K143" s="43">
        <f t="shared" si="47"/>
        <v>925.76499999999999</v>
      </c>
      <c r="L143" s="200">
        <v>925765</v>
      </c>
      <c r="M143" s="196">
        <f t="shared" si="45"/>
        <v>0</v>
      </c>
      <c r="N143" s="36">
        <f t="shared" si="61"/>
        <v>0</v>
      </c>
      <c r="O143" s="407">
        <f>R143/2</f>
        <v>-25</v>
      </c>
      <c r="P143" s="408">
        <f t="shared" si="54"/>
        <v>37500</v>
      </c>
      <c r="Q143" s="308">
        <f t="shared" si="65"/>
        <v>-50</v>
      </c>
      <c r="R143" s="43">
        <f t="shared" si="58"/>
        <v>-50</v>
      </c>
      <c r="S143" s="200">
        <v>50000</v>
      </c>
      <c r="T143" s="266"/>
      <c r="U143" s="227">
        <f t="shared" si="43"/>
        <v>403978.6113294799</v>
      </c>
      <c r="V143" s="36">
        <f t="shared" si="59"/>
        <v>434.21052132947989</v>
      </c>
      <c r="W143" s="36">
        <f t="shared" si="60"/>
        <v>437.88249999999999</v>
      </c>
      <c r="X143" s="248">
        <f t="shared" si="63"/>
        <v>875.76499999999999</v>
      </c>
      <c r="Y143" s="43">
        <f t="shared" si="63"/>
        <v>875.76499999999999</v>
      </c>
      <c r="Z143" s="250">
        <f t="shared" si="55"/>
        <v>127.28198981007431</v>
      </c>
      <c r="AA143" s="174">
        <f t="shared" si="56"/>
        <v>0</v>
      </c>
      <c r="AB143" s="252"/>
      <c r="AC143" s="336"/>
      <c r="AD143" s="252"/>
      <c r="AE143" s="336"/>
      <c r="AF143" s="336"/>
      <c r="AG143" s="336"/>
      <c r="AH143" s="336"/>
      <c r="AI143" s="336"/>
      <c r="AJ143" s="336"/>
      <c r="AK143" s="336"/>
      <c r="AL143" s="336"/>
      <c r="AM143" s="336"/>
      <c r="AN143" s="336"/>
      <c r="AO143" s="336"/>
      <c r="AP143" s="336"/>
      <c r="AQ143" s="336"/>
      <c r="AR143" s="336"/>
      <c r="AS143" s="336"/>
      <c r="AT143" s="336"/>
      <c r="AU143" s="336"/>
      <c r="AV143" s="336"/>
      <c r="AW143" s="336"/>
      <c r="AX143" s="336"/>
      <c r="AY143" s="336"/>
      <c r="AZ143" s="336"/>
      <c r="BA143" s="336"/>
      <c r="BB143" s="336"/>
      <c r="BC143" s="336"/>
      <c r="BD143" s="336"/>
      <c r="BE143" s="336"/>
      <c r="BF143" s="336"/>
      <c r="BG143" s="336"/>
      <c r="BH143" s="336"/>
      <c r="BI143" s="336"/>
      <c r="BJ143" s="336"/>
      <c r="BK143" s="336"/>
      <c r="BL143" s="336"/>
      <c r="BM143" s="336"/>
      <c r="BN143" s="336"/>
      <c r="BO143" s="336"/>
      <c r="BP143" s="336"/>
      <c r="BQ143" s="336"/>
      <c r="BR143" s="336"/>
      <c r="BS143" s="336"/>
      <c r="BT143" s="336"/>
      <c r="BU143" s="336"/>
      <c r="BV143" s="336"/>
      <c r="BW143" s="336"/>
      <c r="BX143" s="336"/>
      <c r="BY143" s="336"/>
      <c r="BZ143" s="336"/>
      <c r="CA143" s="336"/>
      <c r="CB143" s="336"/>
      <c r="CC143" s="336"/>
      <c r="CD143" s="336"/>
      <c r="CE143" s="336"/>
      <c r="CF143" s="336"/>
      <c r="CG143" s="336"/>
      <c r="CH143" s="336"/>
      <c r="CI143" s="336"/>
      <c r="CJ143" s="336"/>
      <c r="CK143" s="336"/>
      <c r="CL143" s="336"/>
      <c r="CM143" s="336"/>
      <c r="CN143" s="336"/>
      <c r="CO143" s="336"/>
      <c r="CP143" s="336"/>
      <c r="CQ143" s="336"/>
      <c r="CR143" s="336"/>
      <c r="CS143" s="336"/>
      <c r="CT143" s="336"/>
      <c r="CU143" s="336"/>
      <c r="CV143" s="336"/>
      <c r="CW143" s="336"/>
      <c r="CX143" s="336"/>
      <c r="CY143" s="336"/>
      <c r="CZ143" s="336"/>
      <c r="DA143" s="336"/>
      <c r="DB143" s="336"/>
      <c r="DC143" s="336"/>
      <c r="DD143" s="336"/>
      <c r="DE143" s="336"/>
      <c r="DF143" s="336"/>
      <c r="DG143" s="336"/>
      <c r="DH143" s="336"/>
      <c r="DI143" s="336"/>
      <c r="DJ143" s="336"/>
      <c r="DK143" s="336"/>
      <c r="DL143" s="336"/>
      <c r="DM143" s="336"/>
      <c r="DN143" s="336"/>
      <c r="DO143" s="336"/>
      <c r="DP143" s="336"/>
      <c r="DQ143" s="336"/>
      <c r="DR143" s="336"/>
      <c r="DS143" s="336"/>
      <c r="DT143" s="336"/>
      <c r="DU143" s="336"/>
      <c r="DV143" s="336"/>
      <c r="DW143" s="336"/>
      <c r="DX143" s="336"/>
      <c r="DY143" s="336"/>
      <c r="DZ143" s="336"/>
      <c r="EA143" s="336"/>
      <c r="EB143" s="336"/>
      <c r="EC143" s="336"/>
      <c r="ED143" s="336"/>
      <c r="EE143" s="336"/>
      <c r="EF143" s="336"/>
      <c r="EG143" s="336"/>
      <c r="EH143" s="336"/>
      <c r="EI143" s="336"/>
      <c r="EJ143" s="336"/>
      <c r="EK143" s="336"/>
      <c r="EL143" s="336"/>
      <c r="EM143" s="336"/>
      <c r="EN143" s="336"/>
      <c r="EO143" s="336"/>
      <c r="EP143" s="336"/>
      <c r="EQ143" s="336"/>
      <c r="ER143" s="336"/>
      <c r="ES143" s="336"/>
      <c r="ET143" s="336"/>
      <c r="EU143" s="336"/>
      <c r="EV143" s="336"/>
      <c r="EW143" s="336"/>
      <c r="EX143" s="336"/>
      <c r="EY143" s="336"/>
      <c r="EZ143" s="336"/>
      <c r="FA143" s="336"/>
      <c r="FB143" s="336"/>
      <c r="FC143" s="336"/>
      <c r="FD143" s="336"/>
      <c r="FE143" s="336"/>
      <c r="FF143" s="336"/>
      <c r="FG143" s="336"/>
      <c r="FH143" s="336"/>
      <c r="FI143" s="336"/>
      <c r="FJ143" s="336"/>
      <c r="FK143" s="336"/>
      <c r="FL143" s="336"/>
      <c r="FM143" s="336"/>
      <c r="FN143" s="336"/>
      <c r="FO143" s="336"/>
      <c r="FP143" s="336"/>
      <c r="FQ143" s="336"/>
      <c r="FR143" s="336"/>
      <c r="FS143" s="336"/>
      <c r="FT143" s="336"/>
      <c r="FU143" s="336"/>
      <c r="FV143" s="336"/>
      <c r="FW143" s="336"/>
      <c r="FX143" s="336"/>
      <c r="FY143" s="336"/>
      <c r="FZ143" s="336"/>
      <c r="GA143" s="336"/>
      <c r="GB143" s="336"/>
      <c r="GC143" s="336"/>
      <c r="GD143" s="336"/>
      <c r="GE143" s="336"/>
      <c r="GF143" s="336"/>
      <c r="GG143" s="336"/>
      <c r="GH143" s="336"/>
      <c r="GI143" s="336"/>
      <c r="GJ143" s="336"/>
      <c r="GK143" s="336"/>
    </row>
    <row r="144" spans="1:193" s="117" customFormat="1" ht="9.9499999999999993" customHeight="1" x14ac:dyDescent="0.15">
      <c r="A144" s="144" t="s">
        <v>411</v>
      </c>
      <c r="B144" s="134">
        <v>0.2</v>
      </c>
      <c r="C144" s="145">
        <f t="shared" si="57"/>
        <v>112.1130101899257</v>
      </c>
      <c r="D144" s="196">
        <f t="shared" si="30"/>
        <v>112113.0101899257</v>
      </c>
      <c r="E144" s="274">
        <v>54401.78</v>
      </c>
      <c r="F144" s="304">
        <f t="shared" si="62"/>
        <v>119.69750000000001</v>
      </c>
      <c r="G144" s="313">
        <f t="shared" si="37"/>
        <v>59848.75</v>
      </c>
      <c r="H144" s="335">
        <f t="shared" si="38"/>
        <v>114395</v>
      </c>
      <c r="I144" s="200">
        <v>125000</v>
      </c>
      <c r="J144" s="307">
        <f t="shared" si="66"/>
        <v>239.39500000000001</v>
      </c>
      <c r="K144" s="43">
        <f t="shared" si="47"/>
        <v>239.39500000000001</v>
      </c>
      <c r="L144" s="200">
        <v>239395</v>
      </c>
      <c r="M144" s="196">
        <f t="shared" si="45"/>
        <v>0</v>
      </c>
      <c r="N144" s="36">
        <f t="shared" si="61"/>
        <v>0</v>
      </c>
      <c r="O144" s="407">
        <f t="shared" si="64"/>
        <v>0</v>
      </c>
      <c r="P144" s="408">
        <f t="shared" si="54"/>
        <v>0</v>
      </c>
      <c r="Q144" s="308">
        <f t="shared" si="65"/>
        <v>0</v>
      </c>
      <c r="R144" s="43">
        <f t="shared" si="58"/>
        <v>0</v>
      </c>
      <c r="S144" s="200"/>
      <c r="T144" s="266"/>
      <c r="U144" s="227">
        <f t="shared" si="43"/>
        <v>57711.2301899257</v>
      </c>
      <c r="V144" s="36">
        <f t="shared" si="59"/>
        <v>112.1130101899257</v>
      </c>
      <c r="W144" s="36">
        <f t="shared" si="60"/>
        <v>119.69750000000001</v>
      </c>
      <c r="X144" s="248">
        <f t="shared" si="63"/>
        <v>239.39500000000001</v>
      </c>
      <c r="Y144" s="43">
        <f t="shared" si="63"/>
        <v>239.39500000000001</v>
      </c>
      <c r="Z144" s="250">
        <f t="shared" si="55"/>
        <v>0</v>
      </c>
      <c r="AA144" s="174">
        <f t="shared" si="56"/>
        <v>0</v>
      </c>
      <c r="AB144" s="252"/>
      <c r="AC144" s="336"/>
      <c r="AD144" s="252"/>
      <c r="AE144" s="388"/>
      <c r="AF144" s="336"/>
      <c r="AG144" s="336"/>
      <c r="AH144" s="336"/>
      <c r="AI144" s="336"/>
      <c r="AJ144" s="336"/>
      <c r="AK144" s="336"/>
      <c r="AL144" s="336"/>
      <c r="AM144" s="336"/>
      <c r="AN144" s="336"/>
      <c r="AO144" s="336"/>
      <c r="AP144" s="336"/>
      <c r="AQ144" s="336"/>
      <c r="AR144" s="336"/>
      <c r="AS144" s="336"/>
      <c r="AT144" s="336"/>
      <c r="AU144" s="336"/>
      <c r="AV144" s="336"/>
      <c r="AW144" s="336"/>
      <c r="AX144" s="336"/>
      <c r="AY144" s="336"/>
      <c r="AZ144" s="336"/>
      <c r="BA144" s="336"/>
      <c r="BB144" s="336"/>
      <c r="BC144" s="336"/>
      <c r="BD144" s="336"/>
      <c r="BE144" s="336"/>
      <c r="BF144" s="336"/>
      <c r="BG144" s="336"/>
      <c r="BH144" s="336"/>
      <c r="BI144" s="336"/>
      <c r="BJ144" s="336"/>
      <c r="BK144" s="336"/>
      <c r="BL144" s="336"/>
      <c r="BM144" s="336"/>
      <c r="BN144" s="336"/>
      <c r="BO144" s="336"/>
      <c r="BP144" s="336"/>
      <c r="BQ144" s="336"/>
      <c r="BR144" s="336"/>
      <c r="BS144" s="336"/>
      <c r="BT144" s="336"/>
      <c r="BU144" s="336"/>
      <c r="BV144" s="336"/>
      <c r="BW144" s="336"/>
      <c r="BX144" s="336"/>
      <c r="BY144" s="336"/>
      <c r="BZ144" s="336"/>
      <c r="CA144" s="336"/>
      <c r="CB144" s="336"/>
      <c r="CC144" s="336"/>
      <c r="CD144" s="336"/>
      <c r="CE144" s="336"/>
      <c r="CF144" s="336"/>
      <c r="CG144" s="336"/>
      <c r="CH144" s="336"/>
      <c r="CI144" s="336"/>
      <c r="CJ144" s="336"/>
      <c r="CK144" s="336"/>
      <c r="CL144" s="336"/>
      <c r="CM144" s="336"/>
      <c r="CN144" s="336"/>
      <c r="CO144" s="336"/>
      <c r="CP144" s="336"/>
      <c r="CQ144" s="336"/>
      <c r="CR144" s="336"/>
      <c r="CS144" s="336"/>
      <c r="CT144" s="336"/>
      <c r="CU144" s="336"/>
      <c r="CV144" s="336"/>
      <c r="CW144" s="336"/>
      <c r="CX144" s="336"/>
      <c r="CY144" s="336"/>
      <c r="CZ144" s="336"/>
      <c r="DA144" s="336"/>
      <c r="DB144" s="336"/>
      <c r="DC144" s="336"/>
      <c r="DD144" s="336"/>
      <c r="DE144" s="336"/>
      <c r="DF144" s="336"/>
      <c r="DG144" s="336"/>
      <c r="DH144" s="336"/>
      <c r="DI144" s="336"/>
      <c r="DJ144" s="336"/>
      <c r="DK144" s="336"/>
      <c r="DL144" s="336"/>
      <c r="DM144" s="336"/>
      <c r="DN144" s="336"/>
      <c r="DO144" s="336"/>
      <c r="DP144" s="336"/>
      <c r="DQ144" s="336"/>
      <c r="DR144" s="336"/>
      <c r="DS144" s="336"/>
      <c r="DT144" s="336"/>
      <c r="DU144" s="336"/>
      <c r="DV144" s="336"/>
      <c r="DW144" s="336"/>
      <c r="DX144" s="336"/>
      <c r="DY144" s="336"/>
      <c r="DZ144" s="336"/>
      <c r="EA144" s="336"/>
      <c r="EB144" s="336"/>
      <c r="EC144" s="336"/>
      <c r="ED144" s="336"/>
      <c r="EE144" s="336"/>
      <c r="EF144" s="336"/>
      <c r="EG144" s="336"/>
      <c r="EH144" s="336"/>
      <c r="EI144" s="336"/>
      <c r="EJ144" s="336"/>
      <c r="EK144" s="336"/>
      <c r="EL144" s="336"/>
      <c r="EM144" s="336"/>
      <c r="EN144" s="336"/>
      <c r="EO144" s="336"/>
      <c r="EP144" s="336"/>
      <c r="EQ144" s="336"/>
      <c r="ER144" s="336"/>
      <c r="ES144" s="336"/>
      <c r="ET144" s="336"/>
      <c r="EU144" s="336"/>
      <c r="EV144" s="336"/>
      <c r="EW144" s="336"/>
      <c r="EX144" s="336"/>
      <c r="EY144" s="336"/>
      <c r="EZ144" s="336"/>
      <c r="FA144" s="336"/>
      <c r="FB144" s="336"/>
      <c r="FC144" s="336"/>
      <c r="FD144" s="336"/>
      <c r="FE144" s="336"/>
      <c r="FF144" s="336"/>
      <c r="FG144" s="336"/>
      <c r="FH144" s="336"/>
      <c r="FI144" s="336"/>
      <c r="FJ144" s="336"/>
      <c r="FK144" s="336"/>
      <c r="FL144" s="336"/>
      <c r="FM144" s="336"/>
      <c r="FN144" s="336"/>
      <c r="FO144" s="336"/>
      <c r="FP144" s="336"/>
      <c r="FQ144" s="336"/>
      <c r="FR144" s="336"/>
      <c r="FS144" s="336"/>
      <c r="FT144" s="336"/>
      <c r="FU144" s="336"/>
      <c r="FV144" s="336"/>
      <c r="FW144" s="336"/>
      <c r="FX144" s="336"/>
      <c r="FY144" s="336"/>
      <c r="FZ144" s="336"/>
      <c r="GA144" s="336"/>
      <c r="GB144" s="336"/>
      <c r="GC144" s="336"/>
      <c r="GD144" s="336"/>
      <c r="GE144" s="336"/>
      <c r="GF144" s="336"/>
      <c r="GG144" s="336"/>
      <c r="GH144" s="336"/>
      <c r="GI144" s="336"/>
      <c r="GJ144" s="336"/>
      <c r="GK144" s="336"/>
    </row>
    <row r="145" spans="1:193" s="117" customFormat="1" ht="9" hidden="1" customHeight="1" x14ac:dyDescent="0.15">
      <c r="A145" s="144"/>
      <c r="B145" s="134"/>
      <c r="C145" s="145">
        <f t="shared" si="57"/>
        <v>0</v>
      </c>
      <c r="D145" s="41">
        <f t="shared" si="30"/>
        <v>0</v>
      </c>
      <c r="E145" s="274"/>
      <c r="F145" s="304">
        <f t="shared" ref="F145:F176" si="67">K145/4*1</f>
        <v>0</v>
      </c>
      <c r="G145" s="258">
        <f t="shared" si="37"/>
        <v>0</v>
      </c>
      <c r="H145" s="246">
        <f t="shared" si="38"/>
        <v>0</v>
      </c>
      <c r="I145" s="198">
        <f t="shared" si="53"/>
        <v>0</v>
      </c>
      <c r="J145" s="305">
        <f t="shared" si="66"/>
        <v>0</v>
      </c>
      <c r="K145" s="43">
        <f t="shared" si="47"/>
        <v>0</v>
      </c>
      <c r="L145" s="200"/>
      <c r="M145" s="196">
        <f t="shared" si="45"/>
        <v>0</v>
      </c>
      <c r="N145" s="36"/>
      <c r="O145" s="404">
        <f t="shared" si="64"/>
        <v>0</v>
      </c>
      <c r="P145" s="406">
        <f t="shared" si="54"/>
        <v>0</v>
      </c>
      <c r="Q145" s="404">
        <f t="shared" si="65"/>
        <v>0</v>
      </c>
      <c r="R145" s="43">
        <f t="shared" si="58"/>
        <v>0</v>
      </c>
      <c r="S145" s="200"/>
      <c r="T145" s="266"/>
      <c r="U145" s="210">
        <f t="shared" si="43"/>
        <v>0</v>
      </c>
      <c r="V145" s="36">
        <f>C145+M145</f>
        <v>0</v>
      </c>
      <c r="W145" s="36">
        <f t="shared" si="60"/>
        <v>0</v>
      </c>
      <c r="X145" s="248">
        <f t="shared" si="63"/>
        <v>0</v>
      </c>
      <c r="Y145" s="43">
        <f t="shared" si="63"/>
        <v>0</v>
      </c>
      <c r="Z145" s="250">
        <f t="shared" si="55"/>
        <v>0</v>
      </c>
      <c r="AA145" s="174">
        <f t="shared" si="56"/>
        <v>0</v>
      </c>
      <c r="AB145" s="252"/>
      <c r="AC145" s="336"/>
      <c r="AD145" s="252"/>
      <c r="AE145" s="336"/>
      <c r="AF145" s="336"/>
      <c r="AG145" s="336"/>
      <c r="AH145" s="336"/>
      <c r="AI145" s="336"/>
      <c r="AJ145" s="336"/>
      <c r="AK145" s="336"/>
      <c r="AL145" s="336"/>
      <c r="AM145" s="336"/>
      <c r="AN145" s="336"/>
      <c r="AO145" s="336"/>
      <c r="AP145" s="336"/>
      <c r="AQ145" s="336"/>
      <c r="AR145" s="336"/>
      <c r="AS145" s="336"/>
      <c r="AT145" s="336"/>
      <c r="AU145" s="336"/>
      <c r="AV145" s="336"/>
      <c r="AW145" s="336"/>
      <c r="AX145" s="336"/>
      <c r="AY145" s="336"/>
      <c r="AZ145" s="336"/>
      <c r="BA145" s="336"/>
      <c r="BB145" s="336"/>
      <c r="BC145" s="336"/>
      <c r="BD145" s="336"/>
      <c r="BE145" s="336"/>
      <c r="BF145" s="336"/>
      <c r="BG145" s="336"/>
      <c r="BH145" s="336"/>
      <c r="BI145" s="336"/>
      <c r="BJ145" s="336"/>
      <c r="BK145" s="336"/>
      <c r="BL145" s="336"/>
      <c r="BM145" s="336"/>
      <c r="BN145" s="336"/>
      <c r="BO145" s="336"/>
      <c r="BP145" s="336"/>
      <c r="BQ145" s="336"/>
      <c r="BR145" s="336"/>
      <c r="BS145" s="336"/>
      <c r="BT145" s="336"/>
      <c r="BU145" s="336"/>
      <c r="BV145" s="336"/>
      <c r="BW145" s="336"/>
      <c r="BX145" s="336"/>
      <c r="BY145" s="336"/>
      <c r="BZ145" s="336"/>
      <c r="CA145" s="336"/>
      <c r="CB145" s="336"/>
      <c r="CC145" s="336"/>
      <c r="CD145" s="336"/>
      <c r="CE145" s="336"/>
      <c r="CF145" s="336"/>
      <c r="CG145" s="336"/>
      <c r="CH145" s="336"/>
      <c r="CI145" s="336"/>
      <c r="CJ145" s="336"/>
      <c r="CK145" s="336"/>
      <c r="CL145" s="336"/>
      <c r="CM145" s="336"/>
      <c r="CN145" s="336"/>
      <c r="CO145" s="336"/>
      <c r="CP145" s="336"/>
      <c r="CQ145" s="336"/>
      <c r="CR145" s="336"/>
      <c r="CS145" s="336"/>
      <c r="CT145" s="336"/>
      <c r="CU145" s="336"/>
      <c r="CV145" s="336"/>
      <c r="CW145" s="336"/>
      <c r="CX145" s="336"/>
      <c r="CY145" s="336"/>
      <c r="CZ145" s="336"/>
      <c r="DA145" s="336"/>
      <c r="DB145" s="336"/>
      <c r="DC145" s="336"/>
      <c r="DD145" s="336"/>
      <c r="DE145" s="336"/>
      <c r="DF145" s="336"/>
      <c r="DG145" s="336"/>
      <c r="DH145" s="336"/>
      <c r="DI145" s="336"/>
      <c r="DJ145" s="336"/>
      <c r="DK145" s="336"/>
      <c r="DL145" s="336"/>
      <c r="DM145" s="336"/>
      <c r="DN145" s="336"/>
      <c r="DO145" s="336"/>
      <c r="DP145" s="336"/>
      <c r="DQ145" s="336"/>
      <c r="DR145" s="336"/>
      <c r="DS145" s="336"/>
      <c r="DT145" s="336"/>
      <c r="DU145" s="336"/>
      <c r="DV145" s="336"/>
      <c r="DW145" s="336"/>
      <c r="DX145" s="336"/>
      <c r="DY145" s="336"/>
      <c r="DZ145" s="336"/>
      <c r="EA145" s="336"/>
      <c r="EB145" s="336"/>
      <c r="EC145" s="336"/>
      <c r="ED145" s="336"/>
      <c r="EE145" s="336"/>
      <c r="EF145" s="336"/>
      <c r="EG145" s="336"/>
      <c r="EH145" s="336"/>
      <c r="EI145" s="336"/>
      <c r="EJ145" s="336"/>
      <c r="EK145" s="336"/>
      <c r="EL145" s="336"/>
      <c r="EM145" s="336"/>
      <c r="EN145" s="336"/>
      <c r="EO145" s="336"/>
      <c r="EP145" s="336"/>
      <c r="EQ145" s="336"/>
      <c r="ER145" s="336"/>
      <c r="ES145" s="336"/>
      <c r="ET145" s="336"/>
      <c r="EU145" s="336"/>
      <c r="EV145" s="336"/>
      <c r="EW145" s="336"/>
      <c r="EX145" s="336"/>
      <c r="EY145" s="336"/>
      <c r="EZ145" s="336"/>
      <c r="FA145" s="336"/>
      <c r="FB145" s="336"/>
      <c r="FC145" s="336"/>
      <c r="FD145" s="336"/>
      <c r="FE145" s="336"/>
      <c r="FF145" s="336"/>
      <c r="FG145" s="336"/>
      <c r="FH145" s="336"/>
      <c r="FI145" s="336"/>
      <c r="FJ145" s="336"/>
      <c r="FK145" s="336"/>
      <c r="FL145" s="336"/>
      <c r="FM145" s="336"/>
      <c r="FN145" s="336"/>
      <c r="FO145" s="336"/>
      <c r="FP145" s="336"/>
      <c r="FQ145" s="336"/>
      <c r="FR145" s="336"/>
      <c r="FS145" s="336"/>
      <c r="FT145" s="336"/>
      <c r="FU145" s="336"/>
      <c r="FV145" s="336"/>
      <c r="FW145" s="336"/>
      <c r="FX145" s="336"/>
      <c r="FY145" s="336"/>
      <c r="FZ145" s="336"/>
      <c r="GA145" s="336"/>
      <c r="GB145" s="336"/>
      <c r="GC145" s="336"/>
      <c r="GD145" s="336"/>
      <c r="GE145" s="336"/>
      <c r="GF145" s="336"/>
      <c r="GG145" s="336"/>
      <c r="GH145" s="336"/>
      <c r="GI145" s="336"/>
      <c r="GJ145" s="336"/>
      <c r="GK145" s="336"/>
    </row>
    <row r="146" spans="1:193" s="179" customFormat="1" hidden="1" x14ac:dyDescent="0.15">
      <c r="A146" s="144"/>
      <c r="B146" s="134"/>
      <c r="C146" s="140"/>
      <c r="D146" s="41">
        <f t="shared" ref="D146:D170" si="68">E146+U146</f>
        <v>0</v>
      </c>
      <c r="E146" s="274"/>
      <c r="F146" s="304">
        <f t="shared" si="67"/>
        <v>0</v>
      </c>
      <c r="G146" s="258">
        <f t="shared" si="37"/>
        <v>0</v>
      </c>
      <c r="H146" s="246">
        <f t="shared" si="38"/>
        <v>0</v>
      </c>
      <c r="I146" s="198">
        <f t="shared" si="53"/>
        <v>0</v>
      </c>
      <c r="J146" s="305">
        <f t="shared" si="66"/>
        <v>0</v>
      </c>
      <c r="K146" s="41">
        <f t="shared" si="47"/>
        <v>0</v>
      </c>
      <c r="L146" s="200"/>
      <c r="M146" s="195">
        <f t="shared" si="45"/>
        <v>0</v>
      </c>
      <c r="N146" s="36"/>
      <c r="O146" s="404">
        <f t="shared" si="64"/>
        <v>0</v>
      </c>
      <c r="P146" s="406">
        <f t="shared" si="54"/>
        <v>0</v>
      </c>
      <c r="Q146" s="404">
        <f t="shared" si="65"/>
        <v>0</v>
      </c>
      <c r="R146" s="43"/>
      <c r="S146" s="200"/>
      <c r="T146" s="266"/>
      <c r="U146" s="210">
        <f t="shared" si="43"/>
        <v>0</v>
      </c>
      <c r="V146" s="36"/>
      <c r="W146" s="36"/>
      <c r="X146" s="248"/>
      <c r="Y146" s="41"/>
      <c r="Z146" s="250">
        <f t="shared" si="55"/>
        <v>6691.0557835425261</v>
      </c>
      <c r="AA146" s="174">
        <f t="shared" si="56"/>
        <v>199.31104000000005</v>
      </c>
      <c r="AB146" s="252"/>
      <c r="AC146" s="317"/>
      <c r="AD146" s="252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7"/>
      <c r="BF146" s="317"/>
      <c r="BG146" s="317"/>
      <c r="BH146" s="317"/>
      <c r="BI146" s="317"/>
      <c r="BJ146" s="317"/>
      <c r="BK146" s="317"/>
      <c r="BL146" s="317"/>
      <c r="BM146" s="317"/>
      <c r="BN146" s="317"/>
      <c r="BO146" s="317"/>
      <c r="BP146" s="317"/>
      <c r="BQ146" s="317"/>
      <c r="BR146" s="317"/>
      <c r="BS146" s="317"/>
      <c r="BT146" s="317"/>
      <c r="BU146" s="317"/>
      <c r="BV146" s="317"/>
      <c r="BW146" s="317"/>
      <c r="BX146" s="317"/>
      <c r="BY146" s="317"/>
      <c r="BZ146" s="317"/>
      <c r="CA146" s="317"/>
      <c r="CB146" s="317"/>
      <c r="CC146" s="317"/>
      <c r="CD146" s="317"/>
      <c r="CE146" s="317"/>
      <c r="CF146" s="317"/>
      <c r="CG146" s="317"/>
      <c r="CH146" s="317"/>
      <c r="CI146" s="317"/>
      <c r="CJ146" s="317"/>
      <c r="CK146" s="317"/>
      <c r="CL146" s="317"/>
      <c r="CM146" s="317"/>
      <c r="CN146" s="317"/>
      <c r="CO146" s="317"/>
      <c r="CP146" s="317"/>
      <c r="CQ146" s="317"/>
      <c r="CR146" s="317"/>
      <c r="CS146" s="317"/>
      <c r="CT146" s="317"/>
      <c r="CU146" s="317"/>
      <c r="CV146" s="317"/>
      <c r="CW146" s="317"/>
      <c r="CX146" s="317"/>
      <c r="CY146" s="317"/>
      <c r="CZ146" s="317"/>
      <c r="DA146" s="317"/>
      <c r="DB146" s="317"/>
      <c r="DC146" s="317"/>
      <c r="DD146" s="317"/>
      <c r="DE146" s="317"/>
      <c r="DF146" s="317"/>
      <c r="DG146" s="317"/>
      <c r="DH146" s="317"/>
      <c r="DI146" s="317"/>
      <c r="DJ146" s="317"/>
      <c r="DK146" s="317"/>
      <c r="DL146" s="317"/>
      <c r="DM146" s="317"/>
      <c r="DN146" s="317"/>
      <c r="DO146" s="317"/>
      <c r="DP146" s="317"/>
      <c r="DQ146" s="317"/>
      <c r="DR146" s="317"/>
      <c r="DS146" s="317"/>
      <c r="DT146" s="317"/>
      <c r="DU146" s="317"/>
      <c r="DV146" s="317"/>
      <c r="DW146" s="317"/>
      <c r="DX146" s="317"/>
      <c r="DY146" s="317"/>
      <c r="DZ146" s="317"/>
      <c r="EA146" s="317"/>
      <c r="EB146" s="317"/>
      <c r="EC146" s="317"/>
      <c r="ED146" s="317"/>
      <c r="EE146" s="317"/>
      <c r="EF146" s="317"/>
      <c r="EG146" s="317"/>
      <c r="EH146" s="317"/>
      <c r="EI146" s="317"/>
      <c r="EJ146" s="317"/>
      <c r="EK146" s="317"/>
      <c r="EL146" s="317"/>
      <c r="EM146" s="317"/>
      <c r="EN146" s="317"/>
      <c r="EO146" s="317"/>
      <c r="EP146" s="317"/>
      <c r="EQ146" s="317"/>
      <c r="ER146" s="317"/>
      <c r="ES146" s="317"/>
      <c r="ET146" s="317"/>
      <c r="EU146" s="317"/>
      <c r="EV146" s="317"/>
      <c r="EW146" s="317"/>
      <c r="EX146" s="317"/>
      <c r="EY146" s="317"/>
      <c r="EZ146" s="317"/>
      <c r="FA146" s="317"/>
      <c r="FB146" s="317"/>
      <c r="FC146" s="317"/>
      <c r="FD146" s="317"/>
      <c r="FE146" s="317"/>
      <c r="FF146" s="317"/>
      <c r="FG146" s="317"/>
      <c r="FH146" s="317"/>
      <c r="FI146" s="317"/>
      <c r="FJ146" s="317"/>
      <c r="FK146" s="317"/>
      <c r="FL146" s="317"/>
      <c r="FM146" s="317"/>
      <c r="FN146" s="317"/>
      <c r="FO146" s="317"/>
      <c r="FP146" s="317"/>
      <c r="FQ146" s="317"/>
      <c r="FR146" s="317"/>
      <c r="FS146" s="317"/>
      <c r="FT146" s="317"/>
      <c r="FU146" s="317"/>
      <c r="FV146" s="317"/>
      <c r="FW146" s="317"/>
      <c r="FX146" s="317"/>
      <c r="FY146" s="317"/>
      <c r="FZ146" s="317"/>
      <c r="GA146" s="317"/>
      <c r="GB146" s="317"/>
      <c r="GC146" s="317"/>
      <c r="GD146" s="317"/>
      <c r="GE146" s="317"/>
      <c r="GF146" s="317"/>
      <c r="GG146" s="317"/>
      <c r="GH146" s="317"/>
      <c r="GI146" s="317"/>
      <c r="GJ146" s="317"/>
      <c r="GK146" s="317"/>
    </row>
    <row r="147" spans="1:193" s="117" customFormat="1" ht="9.9499999999999993" customHeight="1" x14ac:dyDescent="0.15">
      <c r="A147" s="168" t="s">
        <v>84</v>
      </c>
      <c r="B147" s="180">
        <f>B148+B149+B150+B154</f>
        <v>6.8</v>
      </c>
      <c r="C147" s="170">
        <f t="shared" ref="C147" si="69">D147/1000</f>
        <v>6431.4872164574736</v>
      </c>
      <c r="D147" s="191">
        <f t="shared" si="68"/>
        <v>6431487.2164574731</v>
      </c>
      <c r="E147" s="191">
        <f>E148+E149+E150+E154</f>
        <v>4469305.3899999997</v>
      </c>
      <c r="F147" s="280">
        <f>K147/2</f>
        <v>7105.7150000000001</v>
      </c>
      <c r="G147" s="315">
        <f t="shared" si="37"/>
        <v>3552857.5</v>
      </c>
      <c r="H147" s="294">
        <f t="shared" si="38"/>
        <v>3889430</v>
      </c>
      <c r="I147" s="198">
        <f>I148+I149+I150+I154</f>
        <v>10322000</v>
      </c>
      <c r="J147" s="280">
        <f>J148+J149+J150+J154</f>
        <v>13122.543</v>
      </c>
      <c r="K147" s="191">
        <f t="shared" si="47"/>
        <v>14211.43</v>
      </c>
      <c r="L147" s="191">
        <f>L148+L149+L150+L154</f>
        <v>14211430</v>
      </c>
      <c r="M147" s="191">
        <f t="shared" si="45"/>
        <v>-586.08895999999993</v>
      </c>
      <c r="N147" s="171">
        <f>N148+N149+N150+N151+N153</f>
        <v>0</v>
      </c>
      <c r="O147" s="404">
        <f>R147/2</f>
        <v>-500</v>
      </c>
      <c r="P147" s="406">
        <f t="shared" si="54"/>
        <v>750000</v>
      </c>
      <c r="Q147" s="404">
        <f>Q148+Q149+Q150+Q154</f>
        <v>-785.4</v>
      </c>
      <c r="R147" s="171">
        <f t="shared" ref="R147:R169" si="70">S147/1000*-1</f>
        <v>-1000</v>
      </c>
      <c r="S147" s="191">
        <f>S148+S149+S150+S154</f>
        <v>1000000</v>
      </c>
      <c r="T147" s="201">
        <f>T148+T149+T150+T154</f>
        <v>586088.95999999996</v>
      </c>
      <c r="U147" s="210">
        <f>U148+U149+U150+U154</f>
        <v>1962181.8264574737</v>
      </c>
      <c r="V147" s="173">
        <f t="shared" ref="V147:V169" si="71">C147+M147</f>
        <v>5845.3982564574735</v>
      </c>
      <c r="W147" s="173">
        <f t="shared" ref="W147:W169" si="72">F147+O147</f>
        <v>6605.7150000000001</v>
      </c>
      <c r="X147" s="191">
        <f>X148+X149+X150+X154</f>
        <v>12337.143</v>
      </c>
      <c r="Y147" s="171">
        <f t="shared" ref="Y147:Y154" si="73">K147+R147</f>
        <v>13211.43</v>
      </c>
      <c r="Z147" s="250">
        <f t="shared" si="55"/>
        <v>2780.8667531957058</v>
      </c>
      <c r="AA147" s="174">
        <f t="shared" si="56"/>
        <v>0</v>
      </c>
      <c r="AB147" s="252"/>
      <c r="AC147" s="336"/>
      <c r="AD147" s="252"/>
      <c r="AE147" s="336"/>
      <c r="AF147" s="336"/>
      <c r="AG147" s="336"/>
      <c r="AH147" s="336"/>
      <c r="AI147" s="336"/>
      <c r="AJ147" s="336"/>
      <c r="AK147" s="336"/>
      <c r="AL147" s="336"/>
      <c r="AM147" s="336"/>
      <c r="AN147" s="336"/>
      <c r="AO147" s="336"/>
      <c r="AP147" s="336"/>
      <c r="AQ147" s="336"/>
      <c r="AR147" s="336"/>
      <c r="AS147" s="336"/>
      <c r="AT147" s="336"/>
      <c r="AU147" s="336"/>
      <c r="AV147" s="336"/>
      <c r="AW147" s="336"/>
      <c r="AX147" s="336"/>
      <c r="AY147" s="336"/>
      <c r="AZ147" s="336"/>
      <c r="BA147" s="336"/>
      <c r="BB147" s="336"/>
      <c r="BC147" s="336"/>
      <c r="BD147" s="336"/>
      <c r="BE147" s="336"/>
      <c r="BF147" s="336"/>
      <c r="BG147" s="336"/>
      <c r="BH147" s="336"/>
      <c r="BI147" s="336"/>
      <c r="BJ147" s="336"/>
      <c r="BK147" s="336"/>
      <c r="BL147" s="336"/>
      <c r="BM147" s="336"/>
      <c r="BN147" s="336"/>
      <c r="BO147" s="336"/>
      <c r="BP147" s="336"/>
      <c r="BQ147" s="336"/>
      <c r="BR147" s="336"/>
      <c r="BS147" s="336"/>
      <c r="BT147" s="336"/>
      <c r="BU147" s="336"/>
      <c r="BV147" s="336"/>
      <c r="BW147" s="336"/>
      <c r="BX147" s="336"/>
      <c r="BY147" s="336"/>
      <c r="BZ147" s="336"/>
      <c r="CA147" s="336"/>
      <c r="CB147" s="336"/>
      <c r="CC147" s="336"/>
      <c r="CD147" s="336"/>
      <c r="CE147" s="336"/>
      <c r="CF147" s="336"/>
      <c r="CG147" s="336"/>
      <c r="CH147" s="336"/>
      <c r="CI147" s="336"/>
      <c r="CJ147" s="336"/>
      <c r="CK147" s="336"/>
      <c r="CL147" s="336"/>
      <c r="CM147" s="336"/>
      <c r="CN147" s="336"/>
      <c r="CO147" s="336"/>
      <c r="CP147" s="336"/>
      <c r="CQ147" s="336"/>
      <c r="CR147" s="336"/>
      <c r="CS147" s="336"/>
      <c r="CT147" s="336"/>
      <c r="CU147" s="336"/>
      <c r="CV147" s="336"/>
      <c r="CW147" s="336"/>
      <c r="CX147" s="336"/>
      <c r="CY147" s="336"/>
      <c r="CZ147" s="336"/>
      <c r="DA147" s="336"/>
      <c r="DB147" s="336"/>
      <c r="DC147" s="336"/>
      <c r="DD147" s="336"/>
      <c r="DE147" s="336"/>
      <c r="DF147" s="336"/>
      <c r="DG147" s="336"/>
      <c r="DH147" s="336"/>
      <c r="DI147" s="336"/>
      <c r="DJ147" s="336"/>
      <c r="DK147" s="336"/>
      <c r="DL147" s="336"/>
      <c r="DM147" s="336"/>
      <c r="DN147" s="336"/>
      <c r="DO147" s="336"/>
      <c r="DP147" s="336"/>
      <c r="DQ147" s="336"/>
      <c r="DR147" s="336"/>
      <c r="DS147" s="336"/>
      <c r="DT147" s="336"/>
      <c r="DU147" s="336"/>
      <c r="DV147" s="336"/>
      <c r="DW147" s="336"/>
      <c r="DX147" s="336"/>
      <c r="DY147" s="336"/>
      <c r="DZ147" s="336"/>
      <c r="EA147" s="336"/>
      <c r="EB147" s="336"/>
      <c r="EC147" s="336"/>
      <c r="ED147" s="336"/>
      <c r="EE147" s="336"/>
      <c r="EF147" s="336"/>
      <c r="EG147" s="336"/>
      <c r="EH147" s="336"/>
      <c r="EI147" s="336"/>
      <c r="EJ147" s="336"/>
      <c r="EK147" s="336"/>
      <c r="EL147" s="336"/>
      <c r="EM147" s="336"/>
      <c r="EN147" s="336"/>
      <c r="EO147" s="336"/>
      <c r="EP147" s="336"/>
      <c r="EQ147" s="336"/>
      <c r="ER147" s="336"/>
      <c r="ES147" s="336"/>
      <c r="ET147" s="336"/>
      <c r="EU147" s="336"/>
      <c r="EV147" s="336"/>
      <c r="EW147" s="336"/>
      <c r="EX147" s="336"/>
      <c r="EY147" s="336"/>
      <c r="EZ147" s="336"/>
      <c r="FA147" s="336"/>
      <c r="FB147" s="336"/>
      <c r="FC147" s="336"/>
      <c r="FD147" s="336"/>
      <c r="FE147" s="336"/>
      <c r="FF147" s="336"/>
      <c r="FG147" s="336"/>
      <c r="FH147" s="336"/>
      <c r="FI147" s="336"/>
      <c r="FJ147" s="336"/>
      <c r="FK147" s="336"/>
      <c r="FL147" s="336"/>
      <c r="FM147" s="336"/>
      <c r="FN147" s="336"/>
      <c r="FO147" s="336"/>
      <c r="FP147" s="336"/>
      <c r="FQ147" s="336"/>
      <c r="FR147" s="336"/>
      <c r="FS147" s="336"/>
      <c r="FT147" s="336"/>
      <c r="FU147" s="336"/>
      <c r="FV147" s="336"/>
      <c r="FW147" s="336"/>
      <c r="FX147" s="336"/>
      <c r="FY147" s="336"/>
      <c r="FZ147" s="336"/>
      <c r="GA147" s="336"/>
      <c r="GB147" s="336"/>
      <c r="GC147" s="336"/>
      <c r="GD147" s="336"/>
      <c r="GE147" s="336"/>
      <c r="GF147" s="336"/>
      <c r="GG147" s="336"/>
      <c r="GH147" s="336"/>
      <c r="GI147" s="336"/>
      <c r="GJ147" s="336"/>
      <c r="GK147" s="336"/>
    </row>
    <row r="148" spans="1:193" s="117" customFormat="1" ht="9.9499999999999993" customHeight="1" x14ac:dyDescent="0.15">
      <c r="A148" s="152" t="s">
        <v>412</v>
      </c>
      <c r="B148" s="125">
        <v>1.9</v>
      </c>
      <c r="C148" s="140">
        <f>D148/1000</f>
        <v>1721.1332468042942</v>
      </c>
      <c r="D148" s="195">
        <f t="shared" si="68"/>
        <v>1721133.2468042942</v>
      </c>
      <c r="E148" s="273">
        <f>81118.61+380823.71+249857.44+448965+12111.8</f>
        <v>1172876.56</v>
      </c>
      <c r="F148" s="301">
        <f>K148/2</f>
        <v>2750.8760000000002</v>
      </c>
      <c r="G148" s="258">
        <f t="shared" si="37"/>
        <v>1375438</v>
      </c>
      <c r="H148" s="246">
        <f t="shared" si="38"/>
        <v>1086752</v>
      </c>
      <c r="I148" s="198">
        <f>(10+10+120+4165+90+10+10)*1000</f>
        <v>4415000</v>
      </c>
      <c r="J148" s="305">
        <v>4502</v>
      </c>
      <c r="K148" s="41">
        <f t="shared" si="47"/>
        <v>5501.7520000000004</v>
      </c>
      <c r="L148" s="198">
        <v>5501752</v>
      </c>
      <c r="M148" s="195">
        <f t="shared" si="45"/>
        <v>-5.4</v>
      </c>
      <c r="N148" s="33"/>
      <c r="O148" s="405">
        <f t="shared" si="64"/>
        <v>0</v>
      </c>
      <c r="P148" s="406">
        <f t="shared" si="54"/>
        <v>0</v>
      </c>
      <c r="Q148" s="309">
        <f>M148</f>
        <v>-5.4</v>
      </c>
      <c r="R148" s="41">
        <f t="shared" si="70"/>
        <v>0</v>
      </c>
      <c r="S148" s="198"/>
      <c r="T148" s="265">
        <f>5400</f>
        <v>5400</v>
      </c>
      <c r="U148" s="210">
        <f t="shared" si="43"/>
        <v>548256.68680429412</v>
      </c>
      <c r="V148" s="33">
        <f t="shared" si="71"/>
        <v>1715.7332468042941</v>
      </c>
      <c r="W148" s="33">
        <f t="shared" si="72"/>
        <v>2750.8760000000002</v>
      </c>
      <c r="X148" s="306">
        <f>J148+Q148</f>
        <v>4496.6000000000004</v>
      </c>
      <c r="Y148" s="41">
        <f t="shared" si="73"/>
        <v>5501.7520000000004</v>
      </c>
      <c r="Z148" s="250">
        <f t="shared" si="55"/>
        <v>565.75686829066865</v>
      </c>
      <c r="AA148" s="174">
        <f t="shared" si="56"/>
        <v>0</v>
      </c>
      <c r="AB148" s="252"/>
      <c r="AC148" s="336"/>
      <c r="AD148" s="252"/>
      <c r="AE148" s="388"/>
      <c r="AF148" s="336"/>
      <c r="AG148" s="336"/>
      <c r="AH148" s="336"/>
      <c r="AI148" s="336"/>
      <c r="AJ148" s="336"/>
      <c r="AK148" s="336"/>
      <c r="AL148" s="336"/>
      <c r="AM148" s="336"/>
      <c r="AN148" s="336"/>
      <c r="AO148" s="336"/>
      <c r="AP148" s="336"/>
      <c r="AQ148" s="336"/>
      <c r="AR148" s="336"/>
      <c r="AS148" s="336"/>
      <c r="AT148" s="336"/>
      <c r="AU148" s="336"/>
      <c r="AV148" s="336"/>
      <c r="AW148" s="336"/>
      <c r="AX148" s="336"/>
      <c r="AY148" s="336"/>
      <c r="AZ148" s="336"/>
      <c r="BA148" s="336"/>
      <c r="BB148" s="336"/>
      <c r="BC148" s="336"/>
      <c r="BD148" s="336"/>
      <c r="BE148" s="336"/>
      <c r="BF148" s="336"/>
      <c r="BG148" s="336"/>
      <c r="BH148" s="336"/>
      <c r="BI148" s="336"/>
      <c r="BJ148" s="336"/>
      <c r="BK148" s="336"/>
      <c r="BL148" s="336"/>
      <c r="BM148" s="336"/>
      <c r="BN148" s="336"/>
      <c r="BO148" s="336"/>
      <c r="BP148" s="336"/>
      <c r="BQ148" s="336"/>
      <c r="BR148" s="336"/>
      <c r="BS148" s="336"/>
      <c r="BT148" s="336"/>
      <c r="BU148" s="336"/>
      <c r="BV148" s="336"/>
      <c r="BW148" s="336"/>
      <c r="BX148" s="336"/>
      <c r="BY148" s="336"/>
      <c r="BZ148" s="336"/>
      <c r="CA148" s="336"/>
      <c r="CB148" s="336"/>
      <c r="CC148" s="336"/>
      <c r="CD148" s="336"/>
      <c r="CE148" s="336"/>
      <c r="CF148" s="336"/>
      <c r="CG148" s="336"/>
      <c r="CH148" s="336"/>
      <c r="CI148" s="336"/>
      <c r="CJ148" s="336"/>
      <c r="CK148" s="336"/>
      <c r="CL148" s="336"/>
      <c r="CM148" s="336"/>
      <c r="CN148" s="336"/>
      <c r="CO148" s="336"/>
      <c r="CP148" s="336"/>
      <c r="CQ148" s="336"/>
      <c r="CR148" s="336"/>
      <c r="CS148" s="336"/>
      <c r="CT148" s="336"/>
      <c r="CU148" s="336"/>
      <c r="CV148" s="336"/>
      <c r="CW148" s="336"/>
      <c r="CX148" s="336"/>
      <c r="CY148" s="336"/>
      <c r="CZ148" s="336"/>
      <c r="DA148" s="336"/>
      <c r="DB148" s="336"/>
      <c r="DC148" s="336"/>
      <c r="DD148" s="336"/>
      <c r="DE148" s="336"/>
      <c r="DF148" s="336"/>
      <c r="DG148" s="336"/>
      <c r="DH148" s="336"/>
      <c r="DI148" s="336"/>
      <c r="DJ148" s="336"/>
      <c r="DK148" s="336"/>
      <c r="DL148" s="336"/>
      <c r="DM148" s="336"/>
      <c r="DN148" s="336"/>
      <c r="DO148" s="336"/>
      <c r="DP148" s="336"/>
      <c r="DQ148" s="336"/>
      <c r="DR148" s="336"/>
      <c r="DS148" s="336"/>
      <c r="DT148" s="336"/>
      <c r="DU148" s="336"/>
      <c r="DV148" s="336"/>
      <c r="DW148" s="336"/>
      <c r="DX148" s="336"/>
      <c r="DY148" s="336"/>
      <c r="DZ148" s="336"/>
      <c r="EA148" s="336"/>
      <c r="EB148" s="336"/>
      <c r="EC148" s="336"/>
      <c r="ED148" s="336"/>
      <c r="EE148" s="336"/>
      <c r="EF148" s="336"/>
      <c r="EG148" s="336"/>
      <c r="EH148" s="336"/>
      <c r="EI148" s="336"/>
      <c r="EJ148" s="336"/>
      <c r="EK148" s="336"/>
      <c r="EL148" s="336"/>
      <c r="EM148" s="336"/>
      <c r="EN148" s="336"/>
      <c r="EO148" s="336"/>
      <c r="EP148" s="336"/>
      <c r="EQ148" s="336"/>
      <c r="ER148" s="336"/>
      <c r="ES148" s="336"/>
      <c r="ET148" s="336"/>
      <c r="EU148" s="336"/>
      <c r="EV148" s="336"/>
      <c r="EW148" s="336"/>
      <c r="EX148" s="336"/>
      <c r="EY148" s="336"/>
      <c r="EZ148" s="336"/>
      <c r="FA148" s="336"/>
      <c r="FB148" s="336"/>
      <c r="FC148" s="336"/>
      <c r="FD148" s="336"/>
      <c r="FE148" s="336"/>
      <c r="FF148" s="336"/>
      <c r="FG148" s="336"/>
      <c r="FH148" s="336"/>
      <c r="FI148" s="336"/>
      <c r="FJ148" s="336"/>
      <c r="FK148" s="336"/>
      <c r="FL148" s="336"/>
      <c r="FM148" s="336"/>
      <c r="FN148" s="336"/>
      <c r="FO148" s="336"/>
      <c r="FP148" s="336"/>
      <c r="FQ148" s="336"/>
      <c r="FR148" s="336"/>
      <c r="FS148" s="336"/>
      <c r="FT148" s="336"/>
      <c r="FU148" s="336"/>
      <c r="FV148" s="336"/>
      <c r="FW148" s="336"/>
      <c r="FX148" s="336"/>
      <c r="FY148" s="336"/>
      <c r="FZ148" s="336"/>
      <c r="GA148" s="336"/>
      <c r="GB148" s="336"/>
      <c r="GC148" s="336"/>
      <c r="GD148" s="336"/>
      <c r="GE148" s="336"/>
      <c r="GF148" s="336"/>
      <c r="GG148" s="336"/>
      <c r="GH148" s="336"/>
      <c r="GI148" s="336"/>
      <c r="GJ148" s="336"/>
      <c r="GK148" s="336"/>
    </row>
    <row r="149" spans="1:193" s="117" customFormat="1" ht="9.9499999999999993" customHeight="1" x14ac:dyDescent="0.15">
      <c r="A149" s="152" t="s">
        <v>413</v>
      </c>
      <c r="B149" s="125">
        <v>1.8</v>
      </c>
      <c r="C149" s="140">
        <f t="shared" ref="C149:C169" si="74">D149/1000</f>
        <v>794.24313170933135</v>
      </c>
      <c r="D149" s="195">
        <f t="shared" si="68"/>
        <v>794243.1317093313</v>
      </c>
      <c r="E149" s="273">
        <v>274842.06</v>
      </c>
      <c r="F149" s="301">
        <f t="shared" ref="F149:F150" si="75">K149/2</f>
        <v>704.77750000000003</v>
      </c>
      <c r="G149" s="258">
        <f t="shared" si="37"/>
        <v>352388.75</v>
      </c>
      <c r="H149" s="246">
        <f t="shared" si="38"/>
        <v>1029555</v>
      </c>
      <c r="I149" s="198">
        <v>380000</v>
      </c>
      <c r="J149" s="305">
        <v>1360</v>
      </c>
      <c r="K149" s="41">
        <f t="shared" si="47"/>
        <v>1409.5550000000001</v>
      </c>
      <c r="L149" s="198">
        <v>1409555</v>
      </c>
      <c r="M149" s="195">
        <f t="shared" si="45"/>
        <v>0</v>
      </c>
      <c r="N149" s="33"/>
      <c r="O149" s="405">
        <f t="shared" si="64"/>
        <v>0</v>
      </c>
      <c r="P149" s="406">
        <f t="shared" si="54"/>
        <v>0</v>
      </c>
      <c r="Q149" s="309">
        <f t="shared" si="65"/>
        <v>0</v>
      </c>
      <c r="R149" s="41">
        <f t="shared" si="70"/>
        <v>0</v>
      </c>
      <c r="S149" s="198"/>
      <c r="T149" s="265"/>
      <c r="U149" s="210">
        <f t="shared" si="43"/>
        <v>519401.0717093313</v>
      </c>
      <c r="V149" s="33">
        <f t="shared" si="71"/>
        <v>794.24313170933135</v>
      </c>
      <c r="W149" s="33">
        <f t="shared" si="72"/>
        <v>704.77750000000003</v>
      </c>
      <c r="X149" s="306">
        <f>J149+Q149</f>
        <v>1360</v>
      </c>
      <c r="Y149" s="41">
        <f t="shared" si="73"/>
        <v>1409.5550000000001</v>
      </c>
      <c r="Z149" s="250">
        <f t="shared" si="55"/>
        <v>980.48654281585482</v>
      </c>
      <c r="AA149" s="174">
        <f t="shared" si="56"/>
        <v>0</v>
      </c>
      <c r="AB149" s="252"/>
      <c r="AC149" s="336"/>
      <c r="AD149" s="252"/>
      <c r="AE149" s="388"/>
      <c r="AF149" s="336"/>
      <c r="AG149" s="336"/>
      <c r="AH149" s="336"/>
      <c r="AI149" s="336"/>
      <c r="AJ149" s="336"/>
      <c r="AK149" s="336"/>
      <c r="AL149" s="336"/>
      <c r="AM149" s="336"/>
      <c r="AN149" s="336"/>
      <c r="AO149" s="336"/>
      <c r="AP149" s="336"/>
      <c r="AQ149" s="336"/>
      <c r="AR149" s="336"/>
      <c r="AS149" s="336"/>
      <c r="AT149" s="336"/>
      <c r="AU149" s="336"/>
      <c r="AV149" s="336"/>
      <c r="AW149" s="336"/>
      <c r="AX149" s="336"/>
      <c r="AY149" s="336"/>
      <c r="AZ149" s="336"/>
      <c r="BA149" s="336"/>
      <c r="BB149" s="336"/>
      <c r="BC149" s="336"/>
      <c r="BD149" s="336"/>
      <c r="BE149" s="336"/>
      <c r="BF149" s="336"/>
      <c r="BG149" s="336"/>
      <c r="BH149" s="336"/>
      <c r="BI149" s="336"/>
      <c r="BJ149" s="336"/>
      <c r="BK149" s="336"/>
      <c r="BL149" s="336"/>
      <c r="BM149" s="336"/>
      <c r="BN149" s="336"/>
      <c r="BO149" s="336"/>
      <c r="BP149" s="336"/>
      <c r="BQ149" s="336"/>
      <c r="BR149" s="336"/>
      <c r="BS149" s="336"/>
      <c r="BT149" s="336"/>
      <c r="BU149" s="336"/>
      <c r="BV149" s="336"/>
      <c r="BW149" s="336"/>
      <c r="BX149" s="336"/>
      <c r="BY149" s="336"/>
      <c r="BZ149" s="336"/>
      <c r="CA149" s="336"/>
      <c r="CB149" s="336"/>
      <c r="CC149" s="336"/>
      <c r="CD149" s="336"/>
      <c r="CE149" s="336"/>
      <c r="CF149" s="336"/>
      <c r="CG149" s="336"/>
      <c r="CH149" s="336"/>
      <c r="CI149" s="336"/>
      <c r="CJ149" s="336"/>
      <c r="CK149" s="336"/>
      <c r="CL149" s="336"/>
      <c r="CM149" s="336"/>
      <c r="CN149" s="336"/>
      <c r="CO149" s="336"/>
      <c r="CP149" s="336"/>
      <c r="CQ149" s="336"/>
      <c r="CR149" s="336"/>
      <c r="CS149" s="336"/>
      <c r="CT149" s="336"/>
      <c r="CU149" s="336"/>
      <c r="CV149" s="336"/>
      <c r="CW149" s="336"/>
      <c r="CX149" s="336"/>
      <c r="CY149" s="336"/>
      <c r="CZ149" s="336"/>
      <c r="DA149" s="336"/>
      <c r="DB149" s="336"/>
      <c r="DC149" s="336"/>
      <c r="DD149" s="336"/>
      <c r="DE149" s="336"/>
      <c r="DF149" s="336"/>
      <c r="DG149" s="336"/>
      <c r="DH149" s="336"/>
      <c r="DI149" s="336"/>
      <c r="DJ149" s="336"/>
      <c r="DK149" s="336"/>
      <c r="DL149" s="336"/>
      <c r="DM149" s="336"/>
      <c r="DN149" s="336"/>
      <c r="DO149" s="336"/>
      <c r="DP149" s="336"/>
      <c r="DQ149" s="336"/>
      <c r="DR149" s="336"/>
      <c r="DS149" s="336"/>
      <c r="DT149" s="336"/>
      <c r="DU149" s="336"/>
      <c r="DV149" s="336"/>
      <c r="DW149" s="336"/>
      <c r="DX149" s="336"/>
      <c r="DY149" s="336"/>
      <c r="DZ149" s="336"/>
      <c r="EA149" s="336"/>
      <c r="EB149" s="336"/>
      <c r="EC149" s="336"/>
      <c r="ED149" s="336"/>
      <c r="EE149" s="336"/>
      <c r="EF149" s="336"/>
      <c r="EG149" s="336"/>
      <c r="EH149" s="336"/>
      <c r="EI149" s="336"/>
      <c r="EJ149" s="336"/>
      <c r="EK149" s="336"/>
      <c r="EL149" s="336"/>
      <c r="EM149" s="336"/>
      <c r="EN149" s="336"/>
      <c r="EO149" s="336"/>
      <c r="EP149" s="336"/>
      <c r="EQ149" s="336"/>
      <c r="ER149" s="336"/>
      <c r="ES149" s="336"/>
      <c r="ET149" s="336"/>
      <c r="EU149" s="336"/>
      <c r="EV149" s="336"/>
      <c r="EW149" s="336"/>
      <c r="EX149" s="336"/>
      <c r="EY149" s="336"/>
      <c r="EZ149" s="336"/>
      <c r="FA149" s="336"/>
      <c r="FB149" s="336"/>
      <c r="FC149" s="336"/>
      <c r="FD149" s="336"/>
      <c r="FE149" s="336"/>
      <c r="FF149" s="336"/>
      <c r="FG149" s="336"/>
      <c r="FH149" s="336"/>
      <c r="FI149" s="336"/>
      <c r="FJ149" s="336"/>
      <c r="FK149" s="336"/>
      <c r="FL149" s="336"/>
      <c r="FM149" s="336"/>
      <c r="FN149" s="336"/>
      <c r="FO149" s="336"/>
      <c r="FP149" s="336"/>
      <c r="FQ149" s="336"/>
      <c r="FR149" s="336"/>
      <c r="FS149" s="336"/>
      <c r="FT149" s="336"/>
      <c r="FU149" s="336"/>
      <c r="FV149" s="336"/>
      <c r="FW149" s="336"/>
      <c r="FX149" s="336"/>
      <c r="FY149" s="336"/>
      <c r="FZ149" s="336"/>
      <c r="GA149" s="336"/>
      <c r="GB149" s="336"/>
      <c r="GC149" s="336"/>
      <c r="GD149" s="336"/>
      <c r="GE149" s="336"/>
      <c r="GF149" s="336"/>
      <c r="GG149" s="336"/>
      <c r="GH149" s="336"/>
      <c r="GI149" s="336"/>
      <c r="GJ149" s="336"/>
      <c r="GK149" s="336"/>
    </row>
    <row r="150" spans="1:193" s="117" customFormat="1" ht="9.9499999999999993" customHeight="1" x14ac:dyDescent="0.15">
      <c r="A150" s="152" t="s">
        <v>414</v>
      </c>
      <c r="B150" s="125">
        <v>2.2999999999999998</v>
      </c>
      <c r="C150" s="140">
        <f t="shared" si="74"/>
        <v>1725.0564571841453</v>
      </c>
      <c r="D150" s="195">
        <f t="shared" si="68"/>
        <v>1725056.4571841452</v>
      </c>
      <c r="E150" s="273">
        <f>E151+E152+E153</f>
        <v>1061377.3099999998</v>
      </c>
      <c r="F150" s="301">
        <f t="shared" si="75"/>
        <v>1352.7715000000001</v>
      </c>
      <c r="G150" s="258">
        <f t="shared" si="37"/>
        <v>676385.75</v>
      </c>
      <c r="H150" s="246">
        <f t="shared" si="38"/>
        <v>1315543</v>
      </c>
      <c r="I150" s="198">
        <f>SUM(I151:I153)</f>
        <v>1390000</v>
      </c>
      <c r="J150" s="305">
        <f t="shared" si="66"/>
        <v>2705.5430000000001</v>
      </c>
      <c r="K150" s="41">
        <f t="shared" si="47"/>
        <v>2705.5430000000001</v>
      </c>
      <c r="L150" s="198">
        <f>SUM(L151:L153)</f>
        <v>2705543</v>
      </c>
      <c r="M150" s="195">
        <f t="shared" si="45"/>
        <v>0</v>
      </c>
      <c r="N150" s="33"/>
      <c r="O150" s="405">
        <f t="shared" si="64"/>
        <v>0</v>
      </c>
      <c r="P150" s="406">
        <f>S150/4*3</f>
        <v>0</v>
      </c>
      <c r="Q150" s="309">
        <f t="shared" si="65"/>
        <v>0</v>
      </c>
      <c r="R150" s="41">
        <f t="shared" si="70"/>
        <v>0</v>
      </c>
      <c r="S150" s="198"/>
      <c r="T150" s="265"/>
      <c r="U150" s="210">
        <f>$U$12/$B$12*B150</f>
        <v>663679.14718414552</v>
      </c>
      <c r="V150" s="33">
        <f t="shared" si="71"/>
        <v>1725.0564571841453</v>
      </c>
      <c r="W150" s="33">
        <f t="shared" si="72"/>
        <v>1352.7715000000001</v>
      </c>
      <c r="X150" s="306">
        <f>J150+Q150</f>
        <v>2705.5430000000001</v>
      </c>
      <c r="Y150" s="41">
        <f t="shared" si="73"/>
        <v>2705.5430000000001</v>
      </c>
      <c r="Z150" s="250">
        <f t="shared" si="55"/>
        <v>887.89042357555741</v>
      </c>
      <c r="AA150" s="174">
        <f t="shared" si="56"/>
        <v>0</v>
      </c>
      <c r="AB150" s="252"/>
      <c r="AC150" s="336"/>
      <c r="AD150" s="252"/>
      <c r="AE150" s="336"/>
      <c r="AF150" s="336"/>
      <c r="AG150" s="336"/>
      <c r="AH150" s="336"/>
      <c r="AI150" s="336"/>
      <c r="AJ150" s="336"/>
      <c r="AK150" s="336"/>
      <c r="AL150" s="336"/>
      <c r="AM150" s="336"/>
      <c r="AN150" s="336"/>
      <c r="AO150" s="336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36"/>
      <c r="BC150" s="336"/>
      <c r="BD150" s="336"/>
      <c r="BE150" s="336"/>
      <c r="BF150" s="336"/>
      <c r="BG150" s="336"/>
      <c r="BH150" s="336"/>
      <c r="BI150" s="336"/>
      <c r="BJ150" s="336"/>
      <c r="BK150" s="336"/>
      <c r="BL150" s="336"/>
      <c r="BM150" s="336"/>
      <c r="BN150" s="336"/>
      <c r="BO150" s="336"/>
      <c r="BP150" s="336"/>
      <c r="BQ150" s="336"/>
      <c r="BR150" s="336"/>
      <c r="BS150" s="336"/>
      <c r="BT150" s="336"/>
      <c r="BU150" s="336"/>
      <c r="BV150" s="336"/>
      <c r="BW150" s="336"/>
      <c r="BX150" s="336"/>
      <c r="BY150" s="336"/>
      <c r="BZ150" s="336"/>
      <c r="CA150" s="336"/>
      <c r="CB150" s="336"/>
      <c r="CC150" s="336"/>
      <c r="CD150" s="336"/>
      <c r="CE150" s="336"/>
      <c r="CF150" s="336"/>
      <c r="CG150" s="336"/>
      <c r="CH150" s="336"/>
      <c r="CI150" s="336"/>
      <c r="CJ150" s="336"/>
      <c r="CK150" s="336"/>
      <c r="CL150" s="336"/>
      <c r="CM150" s="336"/>
      <c r="CN150" s="336"/>
      <c r="CO150" s="336"/>
      <c r="CP150" s="336"/>
      <c r="CQ150" s="336"/>
      <c r="CR150" s="336"/>
      <c r="CS150" s="336"/>
      <c r="CT150" s="336"/>
      <c r="CU150" s="336"/>
      <c r="CV150" s="336"/>
      <c r="CW150" s="336"/>
      <c r="CX150" s="336"/>
      <c r="CY150" s="336"/>
      <c r="CZ150" s="336"/>
      <c r="DA150" s="336"/>
      <c r="DB150" s="336"/>
      <c r="DC150" s="336"/>
      <c r="DD150" s="336"/>
      <c r="DE150" s="336"/>
      <c r="DF150" s="336"/>
      <c r="DG150" s="336"/>
      <c r="DH150" s="336"/>
      <c r="DI150" s="336"/>
      <c r="DJ150" s="336"/>
      <c r="DK150" s="336"/>
      <c r="DL150" s="336"/>
      <c r="DM150" s="336"/>
      <c r="DN150" s="336"/>
      <c r="DO150" s="336"/>
      <c r="DP150" s="336"/>
      <c r="DQ150" s="336"/>
      <c r="DR150" s="336"/>
      <c r="DS150" s="336"/>
      <c r="DT150" s="336"/>
      <c r="DU150" s="336"/>
      <c r="DV150" s="336"/>
      <c r="DW150" s="336"/>
      <c r="DX150" s="336"/>
      <c r="DY150" s="336"/>
      <c r="DZ150" s="336"/>
      <c r="EA150" s="336"/>
      <c r="EB150" s="336"/>
      <c r="EC150" s="336"/>
      <c r="ED150" s="336"/>
      <c r="EE150" s="336"/>
      <c r="EF150" s="336"/>
      <c r="EG150" s="336"/>
      <c r="EH150" s="336"/>
      <c r="EI150" s="336"/>
      <c r="EJ150" s="336"/>
      <c r="EK150" s="336"/>
      <c r="EL150" s="336"/>
      <c r="EM150" s="336"/>
      <c r="EN150" s="336"/>
      <c r="EO150" s="336"/>
      <c r="EP150" s="336"/>
      <c r="EQ150" s="336"/>
      <c r="ER150" s="336"/>
      <c r="ES150" s="336"/>
      <c r="ET150" s="336"/>
      <c r="EU150" s="336"/>
      <c r="EV150" s="336"/>
      <c r="EW150" s="336"/>
      <c r="EX150" s="336"/>
      <c r="EY150" s="336"/>
      <c r="EZ150" s="336"/>
      <c r="FA150" s="336"/>
      <c r="FB150" s="336"/>
      <c r="FC150" s="336"/>
      <c r="FD150" s="336"/>
      <c r="FE150" s="336"/>
      <c r="FF150" s="336"/>
      <c r="FG150" s="336"/>
      <c r="FH150" s="336"/>
      <c r="FI150" s="336"/>
      <c r="FJ150" s="336"/>
      <c r="FK150" s="336"/>
      <c r="FL150" s="336"/>
      <c r="FM150" s="336"/>
      <c r="FN150" s="336"/>
      <c r="FO150" s="336"/>
      <c r="FP150" s="336"/>
      <c r="FQ150" s="336"/>
      <c r="FR150" s="336"/>
      <c r="FS150" s="336"/>
      <c r="FT150" s="336"/>
      <c r="FU150" s="336"/>
      <c r="FV150" s="336"/>
      <c r="FW150" s="336"/>
      <c r="FX150" s="336"/>
      <c r="FY150" s="336"/>
      <c r="FZ150" s="336"/>
      <c r="GA150" s="336"/>
      <c r="GB150" s="336"/>
      <c r="GC150" s="336"/>
      <c r="GD150" s="336"/>
      <c r="GE150" s="336"/>
      <c r="GF150" s="336"/>
      <c r="GG150" s="336"/>
      <c r="GH150" s="336"/>
      <c r="GI150" s="336"/>
      <c r="GJ150" s="336"/>
      <c r="GK150" s="336"/>
    </row>
    <row r="151" spans="1:193" s="117" customFormat="1" ht="9.9499999999999993" customHeight="1" x14ac:dyDescent="0.15">
      <c r="A151" s="144" t="s">
        <v>415</v>
      </c>
      <c r="B151" s="134">
        <v>1.5</v>
      </c>
      <c r="C151" s="145">
        <f t="shared" si="74"/>
        <v>1360.0725764244428</v>
      </c>
      <c r="D151" s="196">
        <f t="shared" si="68"/>
        <v>1360072.5764244427</v>
      </c>
      <c r="E151" s="274">
        <f>884307.75+42930.6</f>
        <v>927238.35</v>
      </c>
      <c r="F151" s="304">
        <f>K151/2</f>
        <v>1123.9815000000001</v>
      </c>
      <c r="G151" s="334">
        <f t="shared" si="37"/>
        <v>561990.75</v>
      </c>
      <c r="H151" s="335">
        <f t="shared" si="38"/>
        <v>857963</v>
      </c>
      <c r="I151" s="200">
        <v>1390000</v>
      </c>
      <c r="J151" s="307">
        <f t="shared" si="66"/>
        <v>2247.9630000000002</v>
      </c>
      <c r="K151" s="43">
        <f t="shared" si="47"/>
        <v>2247.9630000000002</v>
      </c>
      <c r="L151" s="200">
        <v>2247963</v>
      </c>
      <c r="M151" s="196">
        <f t="shared" si="45"/>
        <v>0</v>
      </c>
      <c r="N151" s="36"/>
      <c r="O151" s="407">
        <f t="shared" si="64"/>
        <v>0</v>
      </c>
      <c r="P151" s="408">
        <f t="shared" ref="P151:P164" si="76">S151/4*3</f>
        <v>0</v>
      </c>
      <c r="Q151" s="308">
        <f t="shared" si="65"/>
        <v>0</v>
      </c>
      <c r="R151" s="43">
        <f t="shared" si="70"/>
        <v>0</v>
      </c>
      <c r="S151" s="200"/>
      <c r="T151" s="266"/>
      <c r="U151" s="227">
        <f t="shared" si="43"/>
        <v>432834.22642444272</v>
      </c>
      <c r="V151" s="36">
        <f t="shared" si="71"/>
        <v>1360.0725764244428</v>
      </c>
      <c r="W151" s="36">
        <f t="shared" si="72"/>
        <v>1123.9815000000001</v>
      </c>
      <c r="X151" s="248">
        <f t="shared" ref="X151:Y163" si="77">J151+Q151</f>
        <v>2247.9630000000002</v>
      </c>
      <c r="Y151" s="43">
        <f t="shared" si="73"/>
        <v>2247.9630000000002</v>
      </c>
      <c r="Z151" s="250">
        <f t="shared" si="55"/>
        <v>59.089999430222917</v>
      </c>
      <c r="AA151" s="174">
        <f t="shared" si="56"/>
        <v>0</v>
      </c>
      <c r="AB151" s="252"/>
      <c r="AC151" s="336"/>
      <c r="AD151" s="252"/>
      <c r="AE151" s="336"/>
      <c r="AF151" s="336"/>
      <c r="AG151" s="336"/>
      <c r="AH151" s="336"/>
      <c r="AI151" s="336"/>
      <c r="AJ151" s="336"/>
      <c r="AK151" s="336"/>
      <c r="AL151" s="336"/>
      <c r="AM151" s="336"/>
      <c r="AN151" s="336"/>
      <c r="AO151" s="336"/>
      <c r="AP151" s="336"/>
      <c r="AQ151" s="336"/>
      <c r="AR151" s="336"/>
      <c r="AS151" s="336"/>
      <c r="AT151" s="336"/>
      <c r="AU151" s="336"/>
      <c r="AV151" s="336"/>
      <c r="AW151" s="336"/>
      <c r="AX151" s="336"/>
      <c r="AY151" s="336"/>
      <c r="AZ151" s="336"/>
      <c r="BA151" s="336"/>
      <c r="BB151" s="336"/>
      <c r="BC151" s="336"/>
      <c r="BD151" s="336"/>
      <c r="BE151" s="336"/>
      <c r="BF151" s="336"/>
      <c r="BG151" s="336"/>
      <c r="BH151" s="336"/>
      <c r="BI151" s="336"/>
      <c r="BJ151" s="336"/>
      <c r="BK151" s="336"/>
      <c r="BL151" s="336"/>
      <c r="BM151" s="336"/>
      <c r="BN151" s="336"/>
      <c r="BO151" s="336"/>
      <c r="BP151" s="336"/>
      <c r="BQ151" s="336"/>
      <c r="BR151" s="336"/>
      <c r="BS151" s="336"/>
      <c r="BT151" s="336"/>
      <c r="BU151" s="336"/>
      <c r="BV151" s="336"/>
      <c r="BW151" s="336"/>
      <c r="BX151" s="336"/>
      <c r="BY151" s="336"/>
      <c r="BZ151" s="336"/>
      <c r="CA151" s="336"/>
      <c r="CB151" s="336"/>
      <c r="CC151" s="336"/>
      <c r="CD151" s="336"/>
      <c r="CE151" s="336"/>
      <c r="CF151" s="336"/>
      <c r="CG151" s="336"/>
      <c r="CH151" s="336"/>
      <c r="CI151" s="336"/>
      <c r="CJ151" s="336"/>
      <c r="CK151" s="336"/>
      <c r="CL151" s="336"/>
      <c r="CM151" s="336"/>
      <c r="CN151" s="336"/>
      <c r="CO151" s="336"/>
      <c r="CP151" s="336"/>
      <c r="CQ151" s="336"/>
      <c r="CR151" s="336"/>
      <c r="CS151" s="336"/>
      <c r="CT151" s="336"/>
      <c r="CU151" s="336"/>
      <c r="CV151" s="336"/>
      <c r="CW151" s="336"/>
      <c r="CX151" s="336"/>
      <c r="CY151" s="336"/>
      <c r="CZ151" s="336"/>
      <c r="DA151" s="336"/>
      <c r="DB151" s="336"/>
      <c r="DC151" s="336"/>
      <c r="DD151" s="336"/>
      <c r="DE151" s="336"/>
      <c r="DF151" s="336"/>
      <c r="DG151" s="336"/>
      <c r="DH151" s="336"/>
      <c r="DI151" s="336"/>
      <c r="DJ151" s="336"/>
      <c r="DK151" s="336"/>
      <c r="DL151" s="336"/>
      <c r="DM151" s="336"/>
      <c r="DN151" s="336"/>
      <c r="DO151" s="336"/>
      <c r="DP151" s="336"/>
      <c r="DQ151" s="336"/>
      <c r="DR151" s="336"/>
      <c r="DS151" s="336"/>
      <c r="DT151" s="336"/>
      <c r="DU151" s="336"/>
      <c r="DV151" s="336"/>
      <c r="DW151" s="336"/>
      <c r="DX151" s="336"/>
      <c r="DY151" s="336"/>
      <c r="DZ151" s="336"/>
      <c r="EA151" s="336"/>
      <c r="EB151" s="336"/>
      <c r="EC151" s="336"/>
      <c r="ED151" s="336"/>
      <c r="EE151" s="336"/>
      <c r="EF151" s="336"/>
      <c r="EG151" s="336"/>
      <c r="EH151" s="336"/>
      <c r="EI151" s="336"/>
      <c r="EJ151" s="336"/>
      <c r="EK151" s="336"/>
      <c r="EL151" s="336"/>
      <c r="EM151" s="336"/>
      <c r="EN151" s="336"/>
      <c r="EO151" s="336"/>
      <c r="EP151" s="336"/>
      <c r="EQ151" s="336"/>
      <c r="ER151" s="336"/>
      <c r="ES151" s="336"/>
      <c r="ET151" s="336"/>
      <c r="EU151" s="336"/>
      <c r="EV151" s="336"/>
      <c r="EW151" s="336"/>
      <c r="EX151" s="336"/>
      <c r="EY151" s="336"/>
      <c r="EZ151" s="336"/>
      <c r="FA151" s="336"/>
      <c r="FB151" s="336"/>
      <c r="FC151" s="336"/>
      <c r="FD151" s="336"/>
      <c r="FE151" s="336"/>
      <c r="FF151" s="336"/>
      <c r="FG151" s="336"/>
      <c r="FH151" s="336"/>
      <c r="FI151" s="336"/>
      <c r="FJ151" s="336"/>
      <c r="FK151" s="336"/>
      <c r="FL151" s="336"/>
      <c r="FM151" s="336"/>
      <c r="FN151" s="336"/>
      <c r="FO151" s="336"/>
      <c r="FP151" s="336"/>
      <c r="FQ151" s="336"/>
      <c r="FR151" s="336"/>
      <c r="FS151" s="336"/>
      <c r="FT151" s="336"/>
      <c r="FU151" s="336"/>
      <c r="FV151" s="336"/>
      <c r="FW151" s="336"/>
      <c r="FX151" s="336"/>
      <c r="FY151" s="336"/>
      <c r="FZ151" s="336"/>
      <c r="GA151" s="336"/>
      <c r="GB151" s="336"/>
      <c r="GC151" s="336"/>
      <c r="GD151" s="336"/>
      <c r="GE151" s="336"/>
      <c r="GF151" s="336"/>
      <c r="GG151" s="336"/>
      <c r="GH151" s="336"/>
      <c r="GI151" s="336"/>
      <c r="GJ151" s="336"/>
      <c r="GK151" s="336"/>
    </row>
    <row r="152" spans="1:193" s="117" customFormat="1" ht="9.9499999999999993" customHeight="1" x14ac:dyDescent="0.15">
      <c r="A152" s="144" t="s">
        <v>416</v>
      </c>
      <c r="B152" s="134">
        <v>0.6</v>
      </c>
      <c r="C152" s="145">
        <f t="shared" si="74"/>
        <v>284.09500056977708</v>
      </c>
      <c r="D152" s="196">
        <f t="shared" si="68"/>
        <v>284095.0005697771</v>
      </c>
      <c r="E152" s="274">
        <v>110961.31</v>
      </c>
      <c r="F152" s="304">
        <f t="shared" ref="F152:F154" si="78">K152/2</f>
        <v>171.5925</v>
      </c>
      <c r="G152" s="334">
        <f t="shared" si="37"/>
        <v>85796.25</v>
      </c>
      <c r="H152" s="335">
        <f t="shared" si="38"/>
        <v>343185</v>
      </c>
      <c r="I152" s="200"/>
      <c r="J152" s="307">
        <f t="shared" si="66"/>
        <v>343.185</v>
      </c>
      <c r="K152" s="43">
        <f t="shared" si="47"/>
        <v>343.185</v>
      </c>
      <c r="L152" s="200">
        <v>343185</v>
      </c>
      <c r="M152" s="196">
        <f t="shared" si="45"/>
        <v>0</v>
      </c>
      <c r="N152" s="33"/>
      <c r="O152" s="407">
        <f t="shared" si="64"/>
        <v>0</v>
      </c>
      <c r="P152" s="408">
        <f t="shared" si="76"/>
        <v>0</v>
      </c>
      <c r="Q152" s="308">
        <f t="shared" si="65"/>
        <v>0</v>
      </c>
      <c r="R152" s="43">
        <f t="shared" si="70"/>
        <v>0</v>
      </c>
      <c r="S152" s="198"/>
      <c r="T152" s="265"/>
      <c r="U152" s="227">
        <f t="shared" si="43"/>
        <v>173133.6905697771</v>
      </c>
      <c r="V152" s="36">
        <f t="shared" si="71"/>
        <v>284.09500056977708</v>
      </c>
      <c r="W152" s="36">
        <f t="shared" si="72"/>
        <v>171.5925</v>
      </c>
      <c r="X152" s="248">
        <f t="shared" si="77"/>
        <v>343.185</v>
      </c>
      <c r="Y152" s="43">
        <f t="shared" si="73"/>
        <v>343.185</v>
      </c>
      <c r="Z152" s="250">
        <f t="shared" si="55"/>
        <v>33.506119810074296</v>
      </c>
      <c r="AA152" s="174">
        <f t="shared" si="56"/>
        <v>0</v>
      </c>
      <c r="AB152" s="252"/>
      <c r="AC152" s="336"/>
      <c r="AD152" s="252"/>
      <c r="AE152" s="336"/>
      <c r="AF152" s="336"/>
      <c r="AG152" s="336"/>
      <c r="AH152" s="336"/>
      <c r="AI152" s="336"/>
      <c r="AJ152" s="336"/>
      <c r="AK152" s="336"/>
      <c r="AL152" s="336"/>
      <c r="AM152" s="336"/>
      <c r="AN152" s="336"/>
      <c r="AO152" s="336"/>
      <c r="AP152" s="336"/>
      <c r="AQ152" s="336"/>
      <c r="AR152" s="336"/>
      <c r="AS152" s="336"/>
      <c r="AT152" s="336"/>
      <c r="AU152" s="336"/>
      <c r="AV152" s="336"/>
      <c r="AW152" s="336"/>
      <c r="AX152" s="336"/>
      <c r="AY152" s="336"/>
      <c r="AZ152" s="336"/>
      <c r="BA152" s="336"/>
      <c r="BB152" s="336"/>
      <c r="BC152" s="336"/>
      <c r="BD152" s="336"/>
      <c r="BE152" s="336"/>
      <c r="BF152" s="336"/>
      <c r="BG152" s="336"/>
      <c r="BH152" s="336"/>
      <c r="BI152" s="336"/>
      <c r="BJ152" s="336"/>
      <c r="BK152" s="336"/>
      <c r="BL152" s="336"/>
      <c r="BM152" s="336"/>
      <c r="BN152" s="336"/>
      <c r="BO152" s="336"/>
      <c r="BP152" s="336"/>
      <c r="BQ152" s="336"/>
      <c r="BR152" s="336"/>
      <c r="BS152" s="336"/>
      <c r="BT152" s="336"/>
      <c r="BU152" s="336"/>
      <c r="BV152" s="336"/>
      <c r="BW152" s="336"/>
      <c r="BX152" s="336"/>
      <c r="BY152" s="336"/>
      <c r="BZ152" s="336"/>
      <c r="CA152" s="336"/>
      <c r="CB152" s="336"/>
      <c r="CC152" s="336"/>
      <c r="CD152" s="336"/>
      <c r="CE152" s="336"/>
      <c r="CF152" s="336"/>
      <c r="CG152" s="336"/>
      <c r="CH152" s="336"/>
      <c r="CI152" s="336"/>
      <c r="CJ152" s="336"/>
      <c r="CK152" s="336"/>
      <c r="CL152" s="336"/>
      <c r="CM152" s="336"/>
      <c r="CN152" s="336"/>
      <c r="CO152" s="336"/>
      <c r="CP152" s="336"/>
      <c r="CQ152" s="336"/>
      <c r="CR152" s="336"/>
      <c r="CS152" s="336"/>
      <c r="CT152" s="336"/>
      <c r="CU152" s="336"/>
      <c r="CV152" s="336"/>
      <c r="CW152" s="336"/>
      <c r="CX152" s="336"/>
      <c r="CY152" s="336"/>
      <c r="CZ152" s="336"/>
      <c r="DA152" s="336"/>
      <c r="DB152" s="336"/>
      <c r="DC152" s="336"/>
      <c r="DD152" s="336"/>
      <c r="DE152" s="336"/>
      <c r="DF152" s="336"/>
      <c r="DG152" s="336"/>
      <c r="DH152" s="336"/>
      <c r="DI152" s="336"/>
      <c r="DJ152" s="336"/>
      <c r="DK152" s="336"/>
      <c r="DL152" s="336"/>
      <c r="DM152" s="336"/>
      <c r="DN152" s="336"/>
      <c r="DO152" s="336"/>
      <c r="DP152" s="336"/>
      <c r="DQ152" s="336"/>
      <c r="DR152" s="336"/>
      <c r="DS152" s="336"/>
      <c r="DT152" s="336"/>
      <c r="DU152" s="336"/>
      <c r="DV152" s="336"/>
      <c r="DW152" s="336"/>
      <c r="DX152" s="336"/>
      <c r="DY152" s="336"/>
      <c r="DZ152" s="336"/>
      <c r="EA152" s="336"/>
      <c r="EB152" s="336"/>
      <c r="EC152" s="336"/>
      <c r="ED152" s="336"/>
      <c r="EE152" s="336"/>
      <c r="EF152" s="336"/>
      <c r="EG152" s="336"/>
      <c r="EH152" s="336"/>
      <c r="EI152" s="336"/>
      <c r="EJ152" s="336"/>
      <c r="EK152" s="336"/>
      <c r="EL152" s="336"/>
      <c r="EM152" s="336"/>
      <c r="EN152" s="336"/>
      <c r="EO152" s="336"/>
      <c r="EP152" s="336"/>
      <c r="EQ152" s="336"/>
      <c r="ER152" s="336"/>
      <c r="ES152" s="336"/>
      <c r="ET152" s="336"/>
      <c r="EU152" s="336"/>
      <c r="EV152" s="336"/>
      <c r="EW152" s="336"/>
      <c r="EX152" s="336"/>
      <c r="EY152" s="336"/>
      <c r="EZ152" s="336"/>
      <c r="FA152" s="336"/>
      <c r="FB152" s="336"/>
      <c r="FC152" s="336"/>
      <c r="FD152" s="336"/>
      <c r="FE152" s="336"/>
      <c r="FF152" s="336"/>
      <c r="FG152" s="336"/>
      <c r="FH152" s="336"/>
      <c r="FI152" s="336"/>
      <c r="FJ152" s="336"/>
      <c r="FK152" s="336"/>
      <c r="FL152" s="336"/>
      <c r="FM152" s="336"/>
      <c r="FN152" s="336"/>
      <c r="FO152" s="336"/>
      <c r="FP152" s="336"/>
      <c r="FQ152" s="336"/>
      <c r="FR152" s="336"/>
      <c r="FS152" s="336"/>
      <c r="FT152" s="336"/>
      <c r="FU152" s="336"/>
      <c r="FV152" s="336"/>
      <c r="FW152" s="336"/>
      <c r="FX152" s="336"/>
      <c r="FY152" s="336"/>
      <c r="FZ152" s="336"/>
      <c r="GA152" s="336"/>
      <c r="GB152" s="336"/>
      <c r="GC152" s="336"/>
      <c r="GD152" s="336"/>
      <c r="GE152" s="336"/>
      <c r="GF152" s="336"/>
      <c r="GG152" s="336"/>
      <c r="GH152" s="336"/>
      <c r="GI152" s="336"/>
      <c r="GJ152" s="336"/>
      <c r="GK152" s="336"/>
    </row>
    <row r="153" spans="1:193" s="117" customFormat="1" ht="11.25" customHeight="1" x14ac:dyDescent="0.15">
      <c r="A153" s="144" t="s">
        <v>417</v>
      </c>
      <c r="B153" s="134">
        <v>0.2</v>
      </c>
      <c r="C153" s="145">
        <f t="shared" si="74"/>
        <v>80.8888801899257</v>
      </c>
      <c r="D153" s="196">
        <f t="shared" si="68"/>
        <v>80888.880189925694</v>
      </c>
      <c r="E153" s="274">
        <v>23177.65</v>
      </c>
      <c r="F153" s="304">
        <f t="shared" si="78"/>
        <v>57.197499999999998</v>
      </c>
      <c r="G153" s="334">
        <f t="shared" si="37"/>
        <v>28598.75</v>
      </c>
      <c r="H153" s="335">
        <f t="shared" si="38"/>
        <v>114395</v>
      </c>
      <c r="I153" s="200"/>
      <c r="J153" s="307">
        <f t="shared" si="66"/>
        <v>114.395</v>
      </c>
      <c r="K153" s="43">
        <f t="shared" si="47"/>
        <v>114.395</v>
      </c>
      <c r="L153" s="200">
        <v>114395</v>
      </c>
      <c r="M153" s="196">
        <v>0</v>
      </c>
      <c r="N153" s="33"/>
      <c r="O153" s="407">
        <f t="shared" si="64"/>
        <v>0</v>
      </c>
      <c r="P153" s="408">
        <f t="shared" si="76"/>
        <v>0</v>
      </c>
      <c r="Q153" s="308">
        <f t="shared" si="65"/>
        <v>0</v>
      </c>
      <c r="R153" s="43">
        <f t="shared" si="70"/>
        <v>0</v>
      </c>
      <c r="S153" s="198"/>
      <c r="T153" s="265"/>
      <c r="U153" s="227">
        <f t="shared" si="43"/>
        <v>57711.2301899257</v>
      </c>
      <c r="V153" s="36">
        <f t="shared" si="71"/>
        <v>80.8888801899257</v>
      </c>
      <c r="W153" s="36">
        <f t="shared" si="72"/>
        <v>57.197499999999998</v>
      </c>
      <c r="X153" s="248">
        <f t="shared" si="77"/>
        <v>114.395</v>
      </c>
      <c r="Y153" s="43">
        <f t="shared" si="73"/>
        <v>114.395</v>
      </c>
      <c r="Z153" s="250">
        <f t="shared" si="55"/>
        <v>2363.9456192402972</v>
      </c>
      <c r="AA153" s="174">
        <f t="shared" si="56"/>
        <v>199.31104000000005</v>
      </c>
      <c r="AB153" s="252"/>
      <c r="AC153" s="336"/>
      <c r="AD153" s="252"/>
      <c r="AE153" s="388"/>
      <c r="AF153" s="336"/>
      <c r="AG153" s="336"/>
      <c r="AH153" s="336"/>
      <c r="AI153" s="336"/>
      <c r="AJ153" s="336"/>
      <c r="AK153" s="336"/>
      <c r="AL153" s="336"/>
      <c r="AM153" s="336"/>
      <c r="AN153" s="336"/>
      <c r="AO153" s="336"/>
      <c r="AP153" s="336"/>
      <c r="AQ153" s="336"/>
      <c r="AR153" s="336"/>
      <c r="AS153" s="336"/>
      <c r="AT153" s="336"/>
      <c r="AU153" s="336"/>
      <c r="AV153" s="336"/>
      <c r="AW153" s="336"/>
      <c r="AX153" s="336"/>
      <c r="AY153" s="336"/>
      <c r="AZ153" s="336"/>
      <c r="BA153" s="336"/>
      <c r="BB153" s="336"/>
      <c r="BC153" s="336"/>
      <c r="BD153" s="336"/>
      <c r="BE153" s="336"/>
      <c r="BF153" s="336"/>
      <c r="BG153" s="336"/>
      <c r="BH153" s="336"/>
      <c r="BI153" s="336"/>
      <c r="BJ153" s="336"/>
      <c r="BK153" s="336"/>
      <c r="BL153" s="336"/>
      <c r="BM153" s="336"/>
      <c r="BN153" s="336"/>
      <c r="BO153" s="336"/>
      <c r="BP153" s="336"/>
      <c r="BQ153" s="336"/>
      <c r="BR153" s="336"/>
      <c r="BS153" s="336"/>
      <c r="BT153" s="336"/>
      <c r="BU153" s="336"/>
      <c r="BV153" s="336"/>
      <c r="BW153" s="336"/>
      <c r="BX153" s="336"/>
      <c r="BY153" s="336"/>
      <c r="BZ153" s="336"/>
      <c r="CA153" s="336"/>
      <c r="CB153" s="336"/>
      <c r="CC153" s="336"/>
      <c r="CD153" s="336"/>
      <c r="CE153" s="336"/>
      <c r="CF153" s="336"/>
      <c r="CG153" s="336"/>
      <c r="CH153" s="336"/>
      <c r="CI153" s="336"/>
      <c r="CJ153" s="336"/>
      <c r="CK153" s="336"/>
      <c r="CL153" s="336"/>
      <c r="CM153" s="336"/>
      <c r="CN153" s="336"/>
      <c r="CO153" s="336"/>
      <c r="CP153" s="336"/>
      <c r="CQ153" s="336"/>
      <c r="CR153" s="336"/>
      <c r="CS153" s="336"/>
      <c r="CT153" s="336"/>
      <c r="CU153" s="336"/>
      <c r="CV153" s="336"/>
      <c r="CW153" s="336"/>
      <c r="CX153" s="336"/>
      <c r="CY153" s="336"/>
      <c r="CZ153" s="336"/>
      <c r="DA153" s="336"/>
      <c r="DB153" s="336"/>
      <c r="DC153" s="336"/>
      <c r="DD153" s="336"/>
      <c r="DE153" s="336"/>
      <c r="DF153" s="336"/>
      <c r="DG153" s="336"/>
      <c r="DH153" s="336"/>
      <c r="DI153" s="336"/>
      <c r="DJ153" s="336"/>
      <c r="DK153" s="336"/>
      <c r="DL153" s="336"/>
      <c r="DM153" s="336"/>
      <c r="DN153" s="336"/>
      <c r="DO153" s="336"/>
      <c r="DP153" s="336"/>
      <c r="DQ153" s="336"/>
      <c r="DR153" s="336"/>
      <c r="DS153" s="336"/>
      <c r="DT153" s="336"/>
      <c r="DU153" s="336"/>
      <c r="DV153" s="336"/>
      <c r="DW153" s="336"/>
      <c r="DX153" s="336"/>
      <c r="DY153" s="336"/>
      <c r="DZ153" s="336"/>
      <c r="EA153" s="336"/>
      <c r="EB153" s="336"/>
      <c r="EC153" s="336"/>
      <c r="ED153" s="336"/>
      <c r="EE153" s="336"/>
      <c r="EF153" s="336"/>
      <c r="EG153" s="336"/>
      <c r="EH153" s="336"/>
      <c r="EI153" s="336"/>
      <c r="EJ153" s="336"/>
      <c r="EK153" s="336"/>
      <c r="EL153" s="336"/>
      <c r="EM153" s="336"/>
      <c r="EN153" s="336"/>
      <c r="EO153" s="336"/>
      <c r="EP153" s="336"/>
      <c r="EQ153" s="336"/>
      <c r="ER153" s="336"/>
      <c r="ES153" s="336"/>
      <c r="ET153" s="336"/>
      <c r="EU153" s="336"/>
      <c r="EV153" s="336"/>
      <c r="EW153" s="336"/>
      <c r="EX153" s="336"/>
      <c r="EY153" s="336"/>
      <c r="EZ153" s="336"/>
      <c r="FA153" s="336"/>
      <c r="FB153" s="336"/>
      <c r="FC153" s="336"/>
      <c r="FD153" s="336"/>
      <c r="FE153" s="336"/>
      <c r="FF153" s="336"/>
      <c r="FG153" s="336"/>
      <c r="FH153" s="336"/>
      <c r="FI153" s="336"/>
      <c r="FJ153" s="336"/>
      <c r="FK153" s="336"/>
      <c r="FL153" s="336"/>
      <c r="FM153" s="336"/>
      <c r="FN153" s="336"/>
      <c r="FO153" s="336"/>
      <c r="FP153" s="336"/>
      <c r="FQ153" s="336"/>
      <c r="FR153" s="336"/>
      <c r="FS153" s="336"/>
      <c r="FT153" s="336"/>
      <c r="FU153" s="336"/>
      <c r="FV153" s="336"/>
      <c r="FW153" s="336"/>
      <c r="FX153" s="336"/>
      <c r="FY153" s="336"/>
      <c r="FZ153" s="336"/>
      <c r="GA153" s="336"/>
      <c r="GB153" s="336"/>
      <c r="GC153" s="336"/>
      <c r="GD153" s="336"/>
      <c r="GE153" s="336"/>
      <c r="GF153" s="336"/>
      <c r="GG153" s="336"/>
      <c r="GH153" s="336"/>
      <c r="GI153" s="336"/>
      <c r="GJ153" s="336"/>
      <c r="GK153" s="336"/>
    </row>
    <row r="154" spans="1:193" s="179" customFormat="1" x14ac:dyDescent="0.15">
      <c r="A154" s="152" t="s">
        <v>418</v>
      </c>
      <c r="B154" s="125">
        <v>0.8</v>
      </c>
      <c r="C154" s="140">
        <f t="shared" si="74"/>
        <v>2191.0543807597028</v>
      </c>
      <c r="D154" s="195">
        <f t="shared" si="68"/>
        <v>2191054.380759703</v>
      </c>
      <c r="E154" s="273">
        <v>1960209.46</v>
      </c>
      <c r="F154" s="301">
        <f t="shared" si="78"/>
        <v>2297.29</v>
      </c>
      <c r="G154" s="258">
        <f t="shared" si="37"/>
        <v>1148645</v>
      </c>
      <c r="H154" s="246">
        <f t="shared" si="38"/>
        <v>457580</v>
      </c>
      <c r="I154" s="198">
        <v>4137000</v>
      </c>
      <c r="J154" s="305">
        <v>4555</v>
      </c>
      <c r="K154" s="41">
        <f t="shared" si="47"/>
        <v>4594.58</v>
      </c>
      <c r="L154" s="198">
        <v>4594580</v>
      </c>
      <c r="M154" s="195">
        <f t="shared" si="45"/>
        <v>-580.68895999999995</v>
      </c>
      <c r="N154" s="33"/>
      <c r="O154" s="405">
        <f>R154/2</f>
        <v>-500</v>
      </c>
      <c r="P154" s="406">
        <f t="shared" si="76"/>
        <v>750000</v>
      </c>
      <c r="Q154" s="309">
        <v>-780</v>
      </c>
      <c r="R154" s="41">
        <f t="shared" si="70"/>
        <v>-1000</v>
      </c>
      <c r="S154" s="198">
        <v>1000000</v>
      </c>
      <c r="T154" s="265">
        <f>25942.54+116075.47+438670.95</f>
        <v>580688.96</v>
      </c>
      <c r="U154" s="210">
        <f t="shared" si="43"/>
        <v>230844.9207597028</v>
      </c>
      <c r="V154" s="33">
        <f t="shared" si="71"/>
        <v>1610.3654207597028</v>
      </c>
      <c r="W154" s="33">
        <f t="shared" si="72"/>
        <v>1797.29</v>
      </c>
      <c r="X154" s="306">
        <f t="shared" si="77"/>
        <v>3775</v>
      </c>
      <c r="Y154" s="41">
        <f t="shared" si="73"/>
        <v>3594.58</v>
      </c>
      <c r="Z154" s="250">
        <f t="shared" si="55"/>
        <v>11517.86143316267</v>
      </c>
      <c r="AA154" s="174">
        <f t="shared" si="56"/>
        <v>36337.380709999998</v>
      </c>
      <c r="AB154" s="252"/>
      <c r="AC154" s="317"/>
      <c r="AD154" s="252"/>
      <c r="AE154" s="389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17"/>
      <c r="BF154" s="317"/>
      <c r="BG154" s="317"/>
      <c r="BH154" s="317"/>
      <c r="BI154" s="317"/>
      <c r="BJ154" s="317"/>
      <c r="BK154" s="317"/>
      <c r="BL154" s="317"/>
      <c r="BM154" s="317"/>
      <c r="BN154" s="317"/>
      <c r="BO154" s="317"/>
      <c r="BP154" s="317"/>
      <c r="BQ154" s="317"/>
      <c r="BR154" s="317"/>
      <c r="BS154" s="317"/>
      <c r="BT154" s="317"/>
      <c r="BU154" s="317"/>
      <c r="BV154" s="317"/>
      <c r="BW154" s="317"/>
      <c r="BX154" s="317"/>
      <c r="BY154" s="317"/>
      <c r="BZ154" s="317"/>
      <c r="CA154" s="317"/>
      <c r="CB154" s="317"/>
      <c r="CC154" s="317"/>
      <c r="CD154" s="317"/>
      <c r="CE154" s="317"/>
      <c r="CF154" s="317"/>
      <c r="CG154" s="317"/>
      <c r="CH154" s="317"/>
      <c r="CI154" s="317"/>
      <c r="CJ154" s="317"/>
      <c r="CK154" s="317"/>
      <c r="CL154" s="317"/>
      <c r="CM154" s="317"/>
      <c r="CN154" s="317"/>
      <c r="CO154" s="317"/>
      <c r="CP154" s="317"/>
      <c r="CQ154" s="317"/>
      <c r="CR154" s="317"/>
      <c r="CS154" s="317"/>
      <c r="CT154" s="317"/>
      <c r="CU154" s="317"/>
      <c r="CV154" s="317"/>
      <c r="CW154" s="317"/>
      <c r="CX154" s="317"/>
      <c r="CY154" s="317"/>
      <c r="CZ154" s="317"/>
      <c r="DA154" s="317"/>
      <c r="DB154" s="317"/>
      <c r="DC154" s="317"/>
      <c r="DD154" s="317"/>
      <c r="DE154" s="317"/>
      <c r="DF154" s="317"/>
      <c r="DG154" s="317"/>
      <c r="DH154" s="317"/>
      <c r="DI154" s="317"/>
      <c r="DJ154" s="317"/>
      <c r="DK154" s="317"/>
      <c r="DL154" s="317"/>
      <c r="DM154" s="317"/>
      <c r="DN154" s="317"/>
      <c r="DO154" s="317"/>
      <c r="DP154" s="317"/>
      <c r="DQ154" s="317"/>
      <c r="DR154" s="317"/>
      <c r="DS154" s="317"/>
      <c r="DT154" s="317"/>
      <c r="DU154" s="317"/>
      <c r="DV154" s="317"/>
      <c r="DW154" s="317"/>
      <c r="DX154" s="317"/>
      <c r="DY154" s="317"/>
      <c r="DZ154" s="317"/>
      <c r="EA154" s="317"/>
      <c r="EB154" s="317"/>
      <c r="EC154" s="317"/>
      <c r="ED154" s="317"/>
      <c r="EE154" s="317"/>
      <c r="EF154" s="317"/>
      <c r="EG154" s="317"/>
      <c r="EH154" s="317"/>
      <c r="EI154" s="317"/>
      <c r="EJ154" s="317"/>
      <c r="EK154" s="317"/>
      <c r="EL154" s="317"/>
      <c r="EM154" s="317"/>
      <c r="EN154" s="317"/>
      <c r="EO154" s="317"/>
      <c r="EP154" s="317"/>
      <c r="EQ154" s="317"/>
      <c r="ER154" s="317"/>
      <c r="ES154" s="317"/>
      <c r="ET154" s="317"/>
      <c r="EU154" s="317"/>
      <c r="EV154" s="317"/>
      <c r="EW154" s="317"/>
      <c r="EX154" s="317"/>
      <c r="EY154" s="317"/>
      <c r="EZ154" s="317"/>
      <c r="FA154" s="317"/>
      <c r="FB154" s="317"/>
      <c r="FC154" s="317"/>
      <c r="FD154" s="317"/>
      <c r="FE154" s="317"/>
      <c r="FF154" s="317"/>
      <c r="FG154" s="317"/>
      <c r="FH154" s="317"/>
      <c r="FI154" s="317"/>
      <c r="FJ154" s="317"/>
      <c r="FK154" s="317"/>
      <c r="FL154" s="317"/>
      <c r="FM154" s="317"/>
      <c r="FN154" s="317"/>
      <c r="FO154" s="317"/>
      <c r="FP154" s="317"/>
      <c r="FQ154" s="317"/>
      <c r="FR154" s="317"/>
      <c r="FS154" s="317"/>
      <c r="FT154" s="317"/>
      <c r="FU154" s="317"/>
      <c r="FV154" s="317"/>
      <c r="FW154" s="317"/>
      <c r="FX154" s="317"/>
      <c r="FY154" s="317"/>
      <c r="FZ154" s="317"/>
      <c r="GA154" s="317"/>
      <c r="GB154" s="317"/>
      <c r="GC154" s="317"/>
      <c r="GD154" s="317"/>
      <c r="GE154" s="317"/>
      <c r="GF154" s="317"/>
      <c r="GG154" s="317"/>
      <c r="GH154" s="317"/>
      <c r="GI154" s="317"/>
      <c r="GJ154" s="317"/>
      <c r="GK154" s="317"/>
    </row>
    <row r="155" spans="1:193" s="118" customFormat="1" ht="11.25" customHeight="1" x14ac:dyDescent="0.15">
      <c r="A155" s="168" t="s">
        <v>85</v>
      </c>
      <c r="B155" s="180">
        <f>B156+B158+B161+B162</f>
        <v>7.1999999999999993</v>
      </c>
      <c r="C155" s="170">
        <f t="shared" si="74"/>
        <v>13970.408566837326</v>
      </c>
      <c r="D155" s="191">
        <f>E155+U155</f>
        <v>13970408.566837326</v>
      </c>
      <c r="E155" s="191">
        <f>E156+E158+E161+E162</f>
        <v>11892804.280000001</v>
      </c>
      <c r="F155" s="280">
        <f>K155/2</f>
        <v>11994.11</v>
      </c>
      <c r="G155" s="315">
        <f t="shared" si="37"/>
        <v>5997055</v>
      </c>
      <c r="H155" s="294">
        <f t="shared" si="38"/>
        <v>4368220</v>
      </c>
      <c r="I155" s="198">
        <f>I156+I158+I161+I162</f>
        <v>19620000</v>
      </c>
      <c r="J155" s="280">
        <f>J156+J158+J161+J162</f>
        <v>25488.269999999997</v>
      </c>
      <c r="K155" s="191">
        <f t="shared" si="47"/>
        <v>23988.22</v>
      </c>
      <c r="L155" s="191">
        <f>L156+L158+L161+L162</f>
        <v>23988220</v>
      </c>
      <c r="M155" s="191">
        <f>T155/1000*-1</f>
        <v>-36662.619290000002</v>
      </c>
      <c r="N155" s="171">
        <f>N156+N158+N157+N159</f>
        <v>0</v>
      </c>
      <c r="O155" s="404">
        <f>R155/2</f>
        <v>-35875</v>
      </c>
      <c r="P155" s="406">
        <f t="shared" si="76"/>
        <v>53812500</v>
      </c>
      <c r="Q155" s="404">
        <f>Q156+Q158+Q161+Q162</f>
        <v>-73000</v>
      </c>
      <c r="R155" s="171">
        <f t="shared" si="70"/>
        <v>-71750</v>
      </c>
      <c r="S155" s="191">
        <f>S156+S158+S161+S162</f>
        <v>71750000</v>
      </c>
      <c r="T155" s="191">
        <f>T156+T158+T161+T162</f>
        <v>36662619.289999999</v>
      </c>
      <c r="U155" s="210">
        <f>U156+U158+U161+U162</f>
        <v>2077604.2868373252</v>
      </c>
      <c r="V155" s="173">
        <f t="shared" si="71"/>
        <v>-22692.210723162676</v>
      </c>
      <c r="W155" s="173">
        <f t="shared" si="72"/>
        <v>-23880.89</v>
      </c>
      <c r="X155" s="191">
        <f>X156+X158+X161+X162</f>
        <v>-47511.729999999996</v>
      </c>
      <c r="Y155" s="171">
        <f t="shared" si="77"/>
        <v>-47761.78</v>
      </c>
      <c r="Z155" s="250">
        <f t="shared" si="55"/>
        <v>3276.118702056152</v>
      </c>
      <c r="AA155" s="174">
        <f t="shared" si="56"/>
        <v>32414.075339999999</v>
      </c>
      <c r="AB155" s="252"/>
      <c r="AC155" s="337"/>
      <c r="AD155" s="252"/>
      <c r="AE155" s="337"/>
      <c r="AF155" s="337"/>
      <c r="AG155" s="337"/>
      <c r="AH155" s="337"/>
      <c r="AI155" s="337"/>
      <c r="AJ155" s="337"/>
      <c r="AK155" s="337"/>
      <c r="AL155" s="337"/>
      <c r="AM155" s="337"/>
      <c r="AN155" s="337"/>
      <c r="AO155" s="337"/>
      <c r="AP155" s="337"/>
      <c r="AQ155" s="337"/>
      <c r="AR155" s="337"/>
      <c r="AS155" s="337"/>
      <c r="AT155" s="337"/>
      <c r="AU155" s="337"/>
      <c r="AV155" s="337"/>
      <c r="AW155" s="337"/>
      <c r="AX155" s="337"/>
      <c r="AY155" s="337"/>
      <c r="AZ155" s="337"/>
      <c r="BA155" s="337"/>
      <c r="BB155" s="337"/>
      <c r="BC155" s="337"/>
      <c r="BD155" s="337"/>
      <c r="BE155" s="337"/>
      <c r="BF155" s="337"/>
      <c r="BG155" s="337"/>
      <c r="BH155" s="337"/>
      <c r="BI155" s="337"/>
      <c r="BJ155" s="337"/>
      <c r="BK155" s="337"/>
      <c r="BL155" s="337"/>
      <c r="BM155" s="337"/>
      <c r="BN155" s="337"/>
      <c r="BO155" s="337"/>
      <c r="BP155" s="337"/>
      <c r="BQ155" s="337"/>
      <c r="BR155" s="337"/>
      <c r="BS155" s="337"/>
      <c r="BT155" s="337"/>
      <c r="BU155" s="337"/>
      <c r="BV155" s="337"/>
      <c r="BW155" s="337"/>
      <c r="BX155" s="337"/>
      <c r="BY155" s="337"/>
      <c r="BZ155" s="337"/>
      <c r="CA155" s="337"/>
      <c r="CB155" s="337"/>
      <c r="CC155" s="337"/>
      <c r="CD155" s="337"/>
      <c r="CE155" s="337"/>
      <c r="CF155" s="337"/>
      <c r="CG155" s="337"/>
      <c r="CH155" s="337"/>
      <c r="CI155" s="337"/>
      <c r="CJ155" s="337"/>
      <c r="CK155" s="337"/>
      <c r="CL155" s="337"/>
      <c r="CM155" s="337"/>
      <c r="CN155" s="337"/>
      <c r="CO155" s="337"/>
      <c r="CP155" s="337"/>
      <c r="CQ155" s="337"/>
      <c r="CR155" s="337"/>
      <c r="CS155" s="337"/>
      <c r="CT155" s="337"/>
      <c r="CU155" s="337"/>
      <c r="CV155" s="337"/>
      <c r="CW155" s="337"/>
      <c r="CX155" s="337"/>
      <c r="CY155" s="337"/>
      <c r="CZ155" s="337"/>
      <c r="DA155" s="337"/>
      <c r="DB155" s="337"/>
      <c r="DC155" s="337"/>
      <c r="DD155" s="337"/>
      <c r="DE155" s="337"/>
      <c r="DF155" s="337"/>
      <c r="DG155" s="337"/>
      <c r="DH155" s="337"/>
      <c r="DI155" s="337"/>
      <c r="DJ155" s="337"/>
      <c r="DK155" s="337"/>
      <c r="DL155" s="337"/>
      <c r="DM155" s="337"/>
      <c r="DN155" s="337"/>
      <c r="DO155" s="337"/>
      <c r="DP155" s="337"/>
      <c r="DQ155" s="337"/>
      <c r="DR155" s="337"/>
      <c r="DS155" s="337"/>
      <c r="DT155" s="337"/>
      <c r="DU155" s="337"/>
      <c r="DV155" s="337"/>
      <c r="DW155" s="337"/>
      <c r="DX155" s="337"/>
      <c r="DY155" s="337"/>
      <c r="DZ155" s="337"/>
      <c r="EA155" s="337"/>
      <c r="EB155" s="337"/>
      <c r="EC155" s="337"/>
      <c r="ED155" s="337"/>
      <c r="EE155" s="337"/>
      <c r="EF155" s="337"/>
      <c r="EG155" s="337"/>
      <c r="EH155" s="337"/>
      <c r="EI155" s="337"/>
      <c r="EJ155" s="337"/>
      <c r="EK155" s="337"/>
      <c r="EL155" s="337"/>
      <c r="EM155" s="337"/>
      <c r="EN155" s="337"/>
      <c r="EO155" s="337"/>
      <c r="EP155" s="337"/>
      <c r="EQ155" s="337"/>
      <c r="ER155" s="337"/>
      <c r="ES155" s="337"/>
      <c r="ET155" s="337"/>
      <c r="EU155" s="337"/>
      <c r="EV155" s="337"/>
      <c r="EW155" s="337"/>
      <c r="EX155" s="337"/>
      <c r="EY155" s="337"/>
      <c r="EZ155" s="337"/>
      <c r="FA155" s="337"/>
      <c r="FB155" s="337"/>
      <c r="FC155" s="337"/>
      <c r="FD155" s="337"/>
      <c r="FE155" s="337"/>
      <c r="FF155" s="337"/>
      <c r="FG155" s="337"/>
      <c r="FH155" s="337"/>
      <c r="FI155" s="337"/>
      <c r="FJ155" s="337"/>
      <c r="FK155" s="337"/>
      <c r="FL155" s="337"/>
      <c r="FM155" s="337"/>
      <c r="FN155" s="337"/>
      <c r="FO155" s="337"/>
      <c r="FP155" s="337"/>
      <c r="FQ155" s="337"/>
      <c r="FR155" s="337"/>
      <c r="FS155" s="337"/>
      <c r="FT155" s="337"/>
      <c r="FU155" s="337"/>
      <c r="FV155" s="337"/>
      <c r="FW155" s="337"/>
      <c r="FX155" s="337"/>
      <c r="FY155" s="337"/>
      <c r="FZ155" s="337"/>
      <c r="GA155" s="337"/>
      <c r="GB155" s="337"/>
      <c r="GC155" s="337"/>
      <c r="GD155" s="337"/>
      <c r="GE155" s="337"/>
      <c r="GF155" s="337"/>
      <c r="GG155" s="337"/>
      <c r="GH155" s="337"/>
      <c r="GI155" s="337"/>
      <c r="GJ155" s="337"/>
      <c r="GK155" s="337"/>
    </row>
    <row r="156" spans="1:193" s="118" customFormat="1" ht="9.9499999999999993" customHeight="1" x14ac:dyDescent="0.15">
      <c r="A156" s="152" t="s">
        <v>419</v>
      </c>
      <c r="B156" s="125">
        <v>3.1</v>
      </c>
      <c r="C156" s="140">
        <f t="shared" si="74"/>
        <v>3897.0032979438483</v>
      </c>
      <c r="D156" s="195">
        <f t="shared" si="68"/>
        <v>3897003.2979438482</v>
      </c>
      <c r="E156" s="273">
        <f>1875925.16+38833.43+962772.83+69847.81+55100</f>
        <v>3002479.23</v>
      </c>
      <c r="F156" s="301">
        <f>K156/2</f>
        <v>3586.5610000000001</v>
      </c>
      <c r="G156" s="258">
        <f t="shared" ref="G156:G180" si="79">L156/4*1</f>
        <v>1793280.5</v>
      </c>
      <c r="H156" s="246">
        <f t="shared" ref="H156:H174" si="80">L156-I156</f>
        <v>1773122</v>
      </c>
      <c r="I156" s="198">
        <v>5400000</v>
      </c>
      <c r="J156" s="305">
        <f t="shared" si="66"/>
        <v>7173.1220000000003</v>
      </c>
      <c r="K156" s="41">
        <f t="shared" si="47"/>
        <v>7173.1220000000003</v>
      </c>
      <c r="L156" s="198">
        <v>7173122</v>
      </c>
      <c r="M156" s="195">
        <f t="shared" si="45"/>
        <v>-32585.924660000001</v>
      </c>
      <c r="N156" s="33"/>
      <c r="O156" s="405">
        <f>R156/2</f>
        <v>-31750</v>
      </c>
      <c r="P156" s="406">
        <f t="shared" si="76"/>
        <v>47625000</v>
      </c>
      <c r="Q156" s="309">
        <v>-65000</v>
      </c>
      <c r="R156" s="195">
        <f t="shared" si="70"/>
        <v>-63500</v>
      </c>
      <c r="S156" s="198">
        <v>63500000</v>
      </c>
      <c r="T156" s="265">
        <v>32585924.66</v>
      </c>
      <c r="U156" s="210">
        <f t="shared" si="43"/>
        <v>894524.06794384832</v>
      </c>
      <c r="V156" s="33">
        <f t="shared" si="71"/>
        <v>-28688.921362056153</v>
      </c>
      <c r="W156" s="33">
        <f t="shared" si="72"/>
        <v>-28163.438999999998</v>
      </c>
      <c r="X156" s="306">
        <f>J156+Q156</f>
        <v>-57826.877999999997</v>
      </c>
      <c r="Y156" s="41">
        <f t="shared" si="77"/>
        <v>-56326.877999999997</v>
      </c>
      <c r="Z156" s="250">
        <f t="shared" si="55"/>
        <v>0</v>
      </c>
      <c r="AA156" s="174">
        <f t="shared" si="56"/>
        <v>0</v>
      </c>
      <c r="AB156" s="252"/>
      <c r="AC156" s="337"/>
      <c r="AD156" s="252"/>
      <c r="AE156" s="390"/>
      <c r="AF156" s="337"/>
      <c r="AG156" s="337"/>
      <c r="AH156" s="337"/>
      <c r="AI156" s="337"/>
      <c r="AJ156" s="337"/>
      <c r="AK156" s="337"/>
      <c r="AL156" s="337"/>
      <c r="AM156" s="337"/>
      <c r="AN156" s="337"/>
      <c r="AO156" s="337"/>
      <c r="AP156" s="337"/>
      <c r="AQ156" s="337"/>
      <c r="AR156" s="337"/>
      <c r="AS156" s="337"/>
      <c r="AT156" s="337"/>
      <c r="AU156" s="337"/>
      <c r="AV156" s="337"/>
      <c r="AW156" s="337"/>
      <c r="AX156" s="337"/>
      <c r="AY156" s="337"/>
      <c r="AZ156" s="337"/>
      <c r="BA156" s="337"/>
      <c r="BB156" s="337"/>
      <c r="BC156" s="337"/>
      <c r="BD156" s="337"/>
      <c r="BE156" s="337"/>
      <c r="BF156" s="337"/>
      <c r="BG156" s="337"/>
      <c r="BH156" s="337"/>
      <c r="BI156" s="337"/>
      <c r="BJ156" s="337"/>
      <c r="BK156" s="337"/>
      <c r="BL156" s="337"/>
      <c r="BM156" s="337"/>
      <c r="BN156" s="337"/>
      <c r="BO156" s="337"/>
      <c r="BP156" s="337"/>
      <c r="BQ156" s="337"/>
      <c r="BR156" s="337"/>
      <c r="BS156" s="337"/>
      <c r="BT156" s="337"/>
      <c r="BU156" s="337"/>
      <c r="BV156" s="337"/>
      <c r="BW156" s="337"/>
      <c r="BX156" s="337"/>
      <c r="BY156" s="337"/>
      <c r="BZ156" s="337"/>
      <c r="CA156" s="337"/>
      <c r="CB156" s="337"/>
      <c r="CC156" s="337"/>
      <c r="CD156" s="337"/>
      <c r="CE156" s="337"/>
      <c r="CF156" s="337"/>
      <c r="CG156" s="337"/>
      <c r="CH156" s="337"/>
      <c r="CI156" s="337"/>
      <c r="CJ156" s="337"/>
      <c r="CK156" s="337"/>
      <c r="CL156" s="337"/>
      <c r="CM156" s="337"/>
      <c r="CN156" s="337"/>
      <c r="CO156" s="337"/>
      <c r="CP156" s="337"/>
      <c r="CQ156" s="337"/>
      <c r="CR156" s="337"/>
      <c r="CS156" s="337"/>
      <c r="CT156" s="337"/>
      <c r="CU156" s="337"/>
      <c r="CV156" s="337"/>
      <c r="CW156" s="337"/>
      <c r="CX156" s="337"/>
      <c r="CY156" s="337"/>
      <c r="CZ156" s="337"/>
      <c r="DA156" s="337"/>
      <c r="DB156" s="337"/>
      <c r="DC156" s="337"/>
      <c r="DD156" s="337"/>
      <c r="DE156" s="337"/>
      <c r="DF156" s="337"/>
      <c r="DG156" s="337"/>
      <c r="DH156" s="337"/>
      <c r="DI156" s="337"/>
      <c r="DJ156" s="337"/>
      <c r="DK156" s="337"/>
      <c r="DL156" s="337"/>
      <c r="DM156" s="337"/>
      <c r="DN156" s="337"/>
      <c r="DO156" s="337"/>
      <c r="DP156" s="337"/>
      <c r="DQ156" s="337"/>
      <c r="DR156" s="337"/>
      <c r="DS156" s="337"/>
      <c r="DT156" s="337"/>
      <c r="DU156" s="337"/>
      <c r="DV156" s="337"/>
      <c r="DW156" s="337"/>
      <c r="DX156" s="337"/>
      <c r="DY156" s="337"/>
      <c r="DZ156" s="337"/>
      <c r="EA156" s="337"/>
      <c r="EB156" s="337"/>
      <c r="EC156" s="337"/>
      <c r="ED156" s="337"/>
      <c r="EE156" s="337"/>
      <c r="EF156" s="337"/>
      <c r="EG156" s="337"/>
      <c r="EH156" s="337"/>
      <c r="EI156" s="337"/>
      <c r="EJ156" s="337"/>
      <c r="EK156" s="337"/>
      <c r="EL156" s="337"/>
      <c r="EM156" s="337"/>
      <c r="EN156" s="337"/>
      <c r="EO156" s="337"/>
      <c r="EP156" s="337"/>
      <c r="EQ156" s="337"/>
      <c r="ER156" s="337"/>
      <c r="ES156" s="337"/>
      <c r="ET156" s="337"/>
      <c r="EU156" s="337"/>
      <c r="EV156" s="337"/>
      <c r="EW156" s="337"/>
      <c r="EX156" s="337"/>
      <c r="EY156" s="337"/>
      <c r="EZ156" s="337"/>
      <c r="FA156" s="337"/>
      <c r="FB156" s="337"/>
      <c r="FC156" s="337"/>
      <c r="FD156" s="337"/>
      <c r="FE156" s="337"/>
      <c r="FF156" s="337"/>
      <c r="FG156" s="337"/>
      <c r="FH156" s="337"/>
      <c r="FI156" s="337"/>
      <c r="FJ156" s="337"/>
      <c r="FK156" s="337"/>
      <c r="FL156" s="337"/>
      <c r="FM156" s="337"/>
      <c r="FN156" s="337"/>
      <c r="FO156" s="337"/>
      <c r="FP156" s="337"/>
      <c r="FQ156" s="337"/>
      <c r="FR156" s="337"/>
      <c r="FS156" s="337"/>
      <c r="FT156" s="337"/>
      <c r="FU156" s="337"/>
      <c r="FV156" s="337"/>
      <c r="FW156" s="337"/>
      <c r="FX156" s="337"/>
      <c r="FY156" s="337"/>
      <c r="FZ156" s="337"/>
      <c r="GA156" s="337"/>
      <c r="GB156" s="337"/>
      <c r="GC156" s="337"/>
      <c r="GD156" s="337"/>
      <c r="GE156" s="337"/>
      <c r="GF156" s="337"/>
      <c r="GG156" s="337"/>
      <c r="GH156" s="337"/>
      <c r="GI156" s="337"/>
      <c r="GJ156" s="337"/>
      <c r="GK156" s="337"/>
    </row>
    <row r="157" spans="1:193" s="118" customFormat="1" ht="11.25" hidden="1" customHeight="1" x14ac:dyDescent="0.15">
      <c r="A157" s="152" t="s">
        <v>327</v>
      </c>
      <c r="B157" s="125"/>
      <c r="C157" s="140">
        <f t="shared" si="74"/>
        <v>0</v>
      </c>
      <c r="D157" s="195">
        <f t="shared" si="68"/>
        <v>0</v>
      </c>
      <c r="E157" s="273"/>
      <c r="F157" s="301">
        <f t="shared" si="67"/>
        <v>0</v>
      </c>
      <c r="G157" s="258">
        <f t="shared" si="79"/>
        <v>0</v>
      </c>
      <c r="H157" s="246">
        <f t="shared" si="80"/>
        <v>0</v>
      </c>
      <c r="I157" s="198">
        <f t="shared" si="53"/>
        <v>0</v>
      </c>
      <c r="J157" s="305">
        <f t="shared" si="66"/>
        <v>0</v>
      </c>
      <c r="K157" s="41">
        <f t="shared" si="47"/>
        <v>0</v>
      </c>
      <c r="L157" s="198"/>
      <c r="M157" s="195">
        <f t="shared" si="45"/>
        <v>0</v>
      </c>
      <c r="N157" s="33"/>
      <c r="O157" s="405">
        <f t="shared" si="64"/>
        <v>0</v>
      </c>
      <c r="P157" s="406">
        <f t="shared" si="76"/>
        <v>0</v>
      </c>
      <c r="Q157" s="309">
        <f t="shared" si="65"/>
        <v>0</v>
      </c>
      <c r="R157" s="195">
        <f t="shared" si="70"/>
        <v>0</v>
      </c>
      <c r="S157" s="198"/>
      <c r="T157" s="265"/>
      <c r="U157" s="210">
        <f t="shared" si="43"/>
        <v>0</v>
      </c>
      <c r="V157" s="33">
        <f t="shared" si="71"/>
        <v>0</v>
      </c>
      <c r="W157" s="33">
        <f t="shared" si="72"/>
        <v>0</v>
      </c>
      <c r="X157" s="306">
        <f t="shared" ref="X157" si="81">J157+Q157</f>
        <v>0</v>
      </c>
      <c r="Y157" s="41">
        <f t="shared" si="77"/>
        <v>0</v>
      </c>
      <c r="Z157" s="250">
        <f t="shared" si="55"/>
        <v>6794.2722081007432</v>
      </c>
      <c r="AA157" s="174">
        <f t="shared" si="56"/>
        <v>0</v>
      </c>
      <c r="AB157" s="252"/>
      <c r="AC157" s="337"/>
      <c r="AD157" s="252"/>
      <c r="AE157" s="337"/>
      <c r="AF157" s="337"/>
      <c r="AG157" s="337"/>
      <c r="AH157" s="337"/>
      <c r="AI157" s="337"/>
      <c r="AJ157" s="337"/>
      <c r="AK157" s="337"/>
      <c r="AL157" s="337"/>
      <c r="AM157" s="337"/>
      <c r="AN157" s="337"/>
      <c r="AO157" s="337"/>
      <c r="AP157" s="337"/>
      <c r="AQ157" s="337"/>
      <c r="AR157" s="337"/>
      <c r="AS157" s="337"/>
      <c r="AT157" s="337"/>
      <c r="AU157" s="337"/>
      <c r="AV157" s="337"/>
      <c r="AW157" s="337"/>
      <c r="AX157" s="337"/>
      <c r="AY157" s="337"/>
      <c r="AZ157" s="337"/>
      <c r="BA157" s="337"/>
      <c r="BB157" s="337"/>
      <c r="BC157" s="337"/>
      <c r="BD157" s="337"/>
      <c r="BE157" s="337"/>
      <c r="BF157" s="337"/>
      <c r="BG157" s="337"/>
      <c r="BH157" s="337"/>
      <c r="BI157" s="337"/>
      <c r="BJ157" s="337"/>
      <c r="BK157" s="337"/>
      <c r="BL157" s="337"/>
      <c r="BM157" s="337"/>
      <c r="BN157" s="337"/>
      <c r="BO157" s="337"/>
      <c r="BP157" s="337"/>
      <c r="BQ157" s="337"/>
      <c r="BR157" s="337"/>
      <c r="BS157" s="337"/>
      <c r="BT157" s="337"/>
      <c r="BU157" s="337"/>
      <c r="BV157" s="337"/>
      <c r="BW157" s="337"/>
      <c r="BX157" s="337"/>
      <c r="BY157" s="337"/>
      <c r="BZ157" s="337"/>
      <c r="CA157" s="337"/>
      <c r="CB157" s="337"/>
      <c r="CC157" s="337"/>
      <c r="CD157" s="337"/>
      <c r="CE157" s="337"/>
      <c r="CF157" s="337"/>
      <c r="CG157" s="337"/>
      <c r="CH157" s="337"/>
      <c r="CI157" s="337"/>
      <c r="CJ157" s="337"/>
      <c r="CK157" s="337"/>
      <c r="CL157" s="337"/>
      <c r="CM157" s="337"/>
      <c r="CN157" s="337"/>
      <c r="CO157" s="337"/>
      <c r="CP157" s="337"/>
      <c r="CQ157" s="337"/>
      <c r="CR157" s="337"/>
      <c r="CS157" s="337"/>
      <c r="CT157" s="337"/>
      <c r="CU157" s="337"/>
      <c r="CV157" s="337"/>
      <c r="CW157" s="337"/>
      <c r="CX157" s="337"/>
      <c r="CY157" s="337"/>
      <c r="CZ157" s="337"/>
      <c r="DA157" s="337"/>
      <c r="DB157" s="337"/>
      <c r="DC157" s="337"/>
      <c r="DD157" s="337"/>
      <c r="DE157" s="337"/>
      <c r="DF157" s="337"/>
      <c r="DG157" s="337"/>
      <c r="DH157" s="337"/>
      <c r="DI157" s="337"/>
      <c r="DJ157" s="337"/>
      <c r="DK157" s="337"/>
      <c r="DL157" s="337"/>
      <c r="DM157" s="337"/>
      <c r="DN157" s="337"/>
      <c r="DO157" s="337"/>
      <c r="DP157" s="337"/>
      <c r="DQ157" s="337"/>
      <c r="DR157" s="337"/>
      <c r="DS157" s="337"/>
      <c r="DT157" s="337"/>
      <c r="DU157" s="337"/>
      <c r="DV157" s="337"/>
      <c r="DW157" s="337"/>
      <c r="DX157" s="337"/>
      <c r="DY157" s="337"/>
      <c r="DZ157" s="337"/>
      <c r="EA157" s="337"/>
      <c r="EB157" s="337"/>
      <c r="EC157" s="337"/>
      <c r="ED157" s="337"/>
      <c r="EE157" s="337"/>
      <c r="EF157" s="337"/>
      <c r="EG157" s="337"/>
      <c r="EH157" s="337"/>
      <c r="EI157" s="337"/>
      <c r="EJ157" s="337"/>
      <c r="EK157" s="337"/>
      <c r="EL157" s="337"/>
      <c r="EM157" s="337"/>
      <c r="EN157" s="337"/>
      <c r="EO157" s="337"/>
      <c r="EP157" s="337"/>
      <c r="EQ157" s="337"/>
      <c r="ER157" s="337"/>
      <c r="ES157" s="337"/>
      <c r="ET157" s="337"/>
      <c r="EU157" s="337"/>
      <c r="EV157" s="337"/>
      <c r="EW157" s="337"/>
      <c r="EX157" s="337"/>
      <c r="EY157" s="337"/>
      <c r="EZ157" s="337"/>
      <c r="FA157" s="337"/>
      <c r="FB157" s="337"/>
      <c r="FC157" s="337"/>
      <c r="FD157" s="337"/>
      <c r="FE157" s="337"/>
      <c r="FF157" s="337"/>
      <c r="FG157" s="337"/>
      <c r="FH157" s="337"/>
      <c r="FI157" s="337"/>
      <c r="FJ157" s="337"/>
      <c r="FK157" s="337"/>
      <c r="FL157" s="337"/>
      <c r="FM157" s="337"/>
      <c r="FN157" s="337"/>
      <c r="FO157" s="337"/>
      <c r="FP157" s="337"/>
      <c r="FQ157" s="337"/>
      <c r="FR157" s="337"/>
      <c r="FS157" s="337"/>
      <c r="FT157" s="337"/>
      <c r="FU157" s="337"/>
      <c r="FV157" s="337"/>
      <c r="FW157" s="337"/>
      <c r="FX157" s="337"/>
      <c r="FY157" s="337"/>
      <c r="FZ157" s="337"/>
      <c r="GA157" s="337"/>
      <c r="GB157" s="337"/>
      <c r="GC157" s="337"/>
      <c r="GD157" s="337"/>
      <c r="GE157" s="337"/>
      <c r="GF157" s="337"/>
      <c r="GG157" s="337"/>
      <c r="GH157" s="337"/>
      <c r="GI157" s="337"/>
      <c r="GJ157" s="337"/>
      <c r="GK157" s="337"/>
    </row>
    <row r="158" spans="1:193" s="118" customFormat="1" ht="11.25" customHeight="1" x14ac:dyDescent="0.15">
      <c r="A158" s="152" t="s">
        <v>420</v>
      </c>
      <c r="B158" s="125">
        <f>B159+B160</f>
        <v>2</v>
      </c>
      <c r="C158" s="140">
        <f t="shared" si="74"/>
        <v>8969.7277918992568</v>
      </c>
      <c r="D158" s="195">
        <f t="shared" si="68"/>
        <v>8969727.7918992564</v>
      </c>
      <c r="E158" s="273">
        <f>E159+E160</f>
        <v>8392615.4900000002</v>
      </c>
      <c r="F158" s="301">
        <f>K158/2</f>
        <v>7131.9750000000004</v>
      </c>
      <c r="G158" s="258">
        <f t="shared" si="79"/>
        <v>3565987.5</v>
      </c>
      <c r="H158" s="246">
        <f t="shared" si="80"/>
        <v>1143950</v>
      </c>
      <c r="I158" s="198">
        <f>SUM(I159:I160)</f>
        <v>13120000</v>
      </c>
      <c r="J158" s="305">
        <f>J159+J160</f>
        <v>15764</v>
      </c>
      <c r="K158" s="41">
        <f t="shared" si="47"/>
        <v>14263.95</v>
      </c>
      <c r="L158" s="198">
        <f>SUM(L159:L160)</f>
        <v>14263950</v>
      </c>
      <c r="M158" s="195">
        <f>T158/1000*-1</f>
        <v>0</v>
      </c>
      <c r="N158" s="33"/>
      <c r="O158" s="405">
        <f t="shared" si="64"/>
        <v>0</v>
      </c>
      <c r="P158" s="406">
        <f t="shared" si="76"/>
        <v>0</v>
      </c>
      <c r="Q158" s="309">
        <f t="shared" si="65"/>
        <v>0</v>
      </c>
      <c r="R158" s="195">
        <f t="shared" si="70"/>
        <v>0</v>
      </c>
      <c r="S158" s="198">
        <f>SUM(S159:S160)</f>
        <v>0</v>
      </c>
      <c r="T158" s="265">
        <f>T159+T160</f>
        <v>0</v>
      </c>
      <c r="U158" s="210">
        <f t="shared" si="43"/>
        <v>577112.301899257</v>
      </c>
      <c r="V158" s="33">
        <f t="shared" si="71"/>
        <v>8969.7277918992568</v>
      </c>
      <c r="W158" s="33">
        <f t="shared" si="72"/>
        <v>7131.9750000000004</v>
      </c>
      <c r="X158" s="306">
        <f>J158+Q158</f>
        <v>15764</v>
      </c>
      <c r="Y158" s="41">
        <f t="shared" si="77"/>
        <v>14263.95</v>
      </c>
      <c r="Z158" s="250">
        <f t="shared" si="55"/>
        <v>6783.7000156482227</v>
      </c>
      <c r="AA158" s="174">
        <f t="shared" si="56"/>
        <v>0</v>
      </c>
      <c r="AB158" s="252"/>
      <c r="AC158" s="337"/>
      <c r="AD158" s="252"/>
      <c r="AE158" s="337"/>
      <c r="AF158" s="337"/>
      <c r="AG158" s="337"/>
      <c r="AH158" s="337"/>
      <c r="AI158" s="337"/>
      <c r="AJ158" s="337"/>
      <c r="AK158" s="337"/>
      <c r="AL158" s="337"/>
      <c r="AM158" s="337"/>
      <c r="AN158" s="337"/>
      <c r="AO158" s="337"/>
      <c r="AP158" s="337"/>
      <c r="AQ158" s="337"/>
      <c r="AR158" s="337"/>
      <c r="AS158" s="337"/>
      <c r="AT158" s="337"/>
      <c r="AU158" s="337"/>
      <c r="AV158" s="337"/>
      <c r="AW158" s="337"/>
      <c r="AX158" s="337"/>
      <c r="AY158" s="337"/>
      <c r="AZ158" s="337"/>
      <c r="BA158" s="337"/>
      <c r="BB158" s="337"/>
      <c r="BC158" s="337"/>
      <c r="BD158" s="337"/>
      <c r="BE158" s="337"/>
      <c r="BF158" s="337"/>
      <c r="BG158" s="337"/>
      <c r="BH158" s="337"/>
      <c r="BI158" s="337"/>
      <c r="BJ158" s="337"/>
      <c r="BK158" s="337"/>
      <c r="BL158" s="337"/>
      <c r="BM158" s="337"/>
      <c r="BN158" s="337"/>
      <c r="BO158" s="337"/>
      <c r="BP158" s="337"/>
      <c r="BQ158" s="337"/>
      <c r="BR158" s="337"/>
      <c r="BS158" s="337"/>
      <c r="BT158" s="337"/>
      <c r="BU158" s="337"/>
      <c r="BV158" s="337"/>
      <c r="BW158" s="337"/>
      <c r="BX158" s="337"/>
      <c r="BY158" s="337"/>
      <c r="BZ158" s="337"/>
      <c r="CA158" s="337"/>
      <c r="CB158" s="337"/>
      <c r="CC158" s="337"/>
      <c r="CD158" s="337"/>
      <c r="CE158" s="337"/>
      <c r="CF158" s="337"/>
      <c r="CG158" s="337"/>
      <c r="CH158" s="337"/>
      <c r="CI158" s="337"/>
      <c r="CJ158" s="337"/>
      <c r="CK158" s="337"/>
      <c r="CL158" s="337"/>
      <c r="CM158" s="337"/>
      <c r="CN158" s="337"/>
      <c r="CO158" s="337"/>
      <c r="CP158" s="337"/>
      <c r="CQ158" s="337"/>
      <c r="CR158" s="337"/>
      <c r="CS158" s="337"/>
      <c r="CT158" s="337"/>
      <c r="CU158" s="337"/>
      <c r="CV158" s="337"/>
      <c r="CW158" s="337"/>
      <c r="CX158" s="337"/>
      <c r="CY158" s="337"/>
      <c r="CZ158" s="337"/>
      <c r="DA158" s="337"/>
      <c r="DB158" s="337"/>
      <c r="DC158" s="337"/>
      <c r="DD158" s="337"/>
      <c r="DE158" s="337"/>
      <c r="DF158" s="337"/>
      <c r="DG158" s="337"/>
      <c r="DH158" s="337"/>
      <c r="DI158" s="337"/>
      <c r="DJ158" s="337"/>
      <c r="DK158" s="337"/>
      <c r="DL158" s="337"/>
      <c r="DM158" s="337"/>
      <c r="DN158" s="337"/>
      <c r="DO158" s="337"/>
      <c r="DP158" s="337"/>
      <c r="DQ158" s="337"/>
      <c r="DR158" s="337"/>
      <c r="DS158" s="337"/>
      <c r="DT158" s="337"/>
      <c r="DU158" s="337"/>
      <c r="DV158" s="337"/>
      <c r="DW158" s="337"/>
      <c r="DX158" s="337"/>
      <c r="DY158" s="337"/>
      <c r="DZ158" s="337"/>
      <c r="EA158" s="337"/>
      <c r="EB158" s="337"/>
      <c r="EC158" s="337"/>
      <c r="ED158" s="337"/>
      <c r="EE158" s="337"/>
      <c r="EF158" s="337"/>
      <c r="EG158" s="337"/>
      <c r="EH158" s="337"/>
      <c r="EI158" s="337"/>
      <c r="EJ158" s="337"/>
      <c r="EK158" s="337"/>
      <c r="EL158" s="337"/>
      <c r="EM158" s="337"/>
      <c r="EN158" s="337"/>
      <c r="EO158" s="337"/>
      <c r="EP158" s="337"/>
      <c r="EQ158" s="337"/>
      <c r="ER158" s="337"/>
      <c r="ES158" s="337"/>
      <c r="ET158" s="337"/>
      <c r="EU158" s="337"/>
      <c r="EV158" s="337"/>
      <c r="EW158" s="337"/>
      <c r="EX158" s="337"/>
      <c r="EY158" s="337"/>
      <c r="EZ158" s="337"/>
      <c r="FA158" s="337"/>
      <c r="FB158" s="337"/>
      <c r="FC158" s="337"/>
      <c r="FD158" s="337"/>
      <c r="FE158" s="337"/>
      <c r="FF158" s="337"/>
      <c r="FG158" s="337"/>
      <c r="FH158" s="337"/>
      <c r="FI158" s="337"/>
      <c r="FJ158" s="337"/>
      <c r="FK158" s="337"/>
      <c r="FL158" s="337"/>
      <c r="FM158" s="337"/>
      <c r="FN158" s="337"/>
      <c r="FO158" s="337"/>
      <c r="FP158" s="337"/>
      <c r="FQ158" s="337"/>
      <c r="FR158" s="337"/>
      <c r="FS158" s="337"/>
      <c r="FT158" s="337"/>
      <c r="FU158" s="337"/>
      <c r="FV158" s="337"/>
      <c r="FW158" s="337"/>
      <c r="FX158" s="337"/>
      <c r="FY158" s="337"/>
      <c r="FZ158" s="337"/>
      <c r="GA158" s="337"/>
      <c r="GB158" s="337"/>
      <c r="GC158" s="337"/>
      <c r="GD158" s="337"/>
      <c r="GE158" s="337"/>
      <c r="GF158" s="337"/>
      <c r="GG158" s="337"/>
      <c r="GH158" s="337"/>
      <c r="GI158" s="337"/>
      <c r="GJ158" s="337"/>
      <c r="GK158" s="337"/>
    </row>
    <row r="159" spans="1:193" s="118" customFormat="1" ht="11.25" customHeight="1" x14ac:dyDescent="0.15">
      <c r="A159" s="144" t="s">
        <v>421</v>
      </c>
      <c r="B159" s="134">
        <v>1.95</v>
      </c>
      <c r="C159" s="145">
        <f t="shared" si="74"/>
        <v>8880.2999843517773</v>
      </c>
      <c r="D159" s="196">
        <f t="shared" si="68"/>
        <v>8880299.9843517765</v>
      </c>
      <c r="E159" s="274">
        <f>249282.75+4055671.74+3554+1115016.5+2205881.6+98785+601423.9-12000</f>
        <v>8317615.4900000002</v>
      </c>
      <c r="F159" s="304">
        <f>K159/2</f>
        <v>7117.6755000000003</v>
      </c>
      <c r="G159" s="334">
        <f t="shared" si="79"/>
        <v>3558837.75</v>
      </c>
      <c r="H159" s="335">
        <f t="shared" si="80"/>
        <v>1115351</v>
      </c>
      <c r="I159" s="200">
        <v>13120000</v>
      </c>
      <c r="J159" s="307">
        <v>15664</v>
      </c>
      <c r="K159" s="43">
        <f t="shared" si="47"/>
        <v>14235.351000000001</v>
      </c>
      <c r="L159" s="200">
        <v>14235351</v>
      </c>
      <c r="M159" s="196">
        <f t="shared" ref="M159:M175" si="82">T159/1000*-1</f>
        <v>0</v>
      </c>
      <c r="N159" s="36"/>
      <c r="O159" s="407">
        <f t="shared" si="64"/>
        <v>0</v>
      </c>
      <c r="P159" s="408">
        <f t="shared" si="76"/>
        <v>0</v>
      </c>
      <c r="Q159" s="308">
        <f t="shared" si="65"/>
        <v>0</v>
      </c>
      <c r="R159" s="196">
        <f t="shared" si="70"/>
        <v>0</v>
      </c>
      <c r="S159" s="200"/>
      <c r="T159" s="266"/>
      <c r="U159" s="227">
        <f t="shared" si="43"/>
        <v>562684.49435177562</v>
      </c>
      <c r="V159" s="36">
        <f t="shared" si="71"/>
        <v>8880.2999843517773</v>
      </c>
      <c r="W159" s="36">
        <f t="shared" si="72"/>
        <v>7117.6755000000003</v>
      </c>
      <c r="X159" s="248">
        <f>J159+Q159</f>
        <v>15664</v>
      </c>
      <c r="Y159" s="43">
        <f t="shared" si="77"/>
        <v>14235.351000000001</v>
      </c>
      <c r="Z159" s="250"/>
      <c r="AA159" s="174"/>
      <c r="AB159" s="252"/>
      <c r="AC159" s="337"/>
      <c r="AD159" s="252"/>
      <c r="AE159" s="337"/>
      <c r="AF159" s="337"/>
      <c r="AG159" s="337"/>
      <c r="AH159" s="337"/>
      <c r="AI159" s="337"/>
      <c r="AJ159" s="337"/>
      <c r="AK159" s="337"/>
      <c r="AL159" s="337"/>
      <c r="AM159" s="337"/>
      <c r="AN159" s="337"/>
      <c r="AO159" s="337"/>
      <c r="AP159" s="337"/>
      <c r="AQ159" s="337"/>
      <c r="AR159" s="337"/>
      <c r="AS159" s="337"/>
      <c r="AT159" s="337"/>
      <c r="AU159" s="337"/>
      <c r="AV159" s="337"/>
      <c r="AW159" s="337"/>
      <c r="AX159" s="337"/>
      <c r="AY159" s="337"/>
      <c r="AZ159" s="337"/>
      <c r="BA159" s="337"/>
      <c r="BB159" s="337"/>
      <c r="BC159" s="337"/>
      <c r="BD159" s="337"/>
      <c r="BE159" s="337"/>
      <c r="BF159" s="337"/>
      <c r="BG159" s="337"/>
      <c r="BH159" s="337"/>
      <c r="BI159" s="337"/>
      <c r="BJ159" s="337"/>
      <c r="BK159" s="337"/>
      <c r="BL159" s="337"/>
      <c r="BM159" s="337"/>
      <c r="BN159" s="337"/>
      <c r="BO159" s="337"/>
      <c r="BP159" s="337"/>
      <c r="BQ159" s="337"/>
      <c r="BR159" s="337"/>
      <c r="BS159" s="337"/>
      <c r="BT159" s="337"/>
      <c r="BU159" s="337"/>
      <c r="BV159" s="337"/>
      <c r="BW159" s="337"/>
      <c r="BX159" s="337"/>
      <c r="BY159" s="337"/>
      <c r="BZ159" s="337"/>
      <c r="CA159" s="337"/>
      <c r="CB159" s="337"/>
      <c r="CC159" s="337"/>
      <c r="CD159" s="337"/>
      <c r="CE159" s="337"/>
      <c r="CF159" s="337"/>
      <c r="CG159" s="337"/>
      <c r="CH159" s="337"/>
      <c r="CI159" s="337"/>
      <c r="CJ159" s="337"/>
      <c r="CK159" s="337"/>
      <c r="CL159" s="337"/>
      <c r="CM159" s="337"/>
      <c r="CN159" s="337"/>
      <c r="CO159" s="337"/>
      <c r="CP159" s="337"/>
      <c r="CQ159" s="337"/>
      <c r="CR159" s="337"/>
      <c r="CS159" s="337"/>
      <c r="CT159" s="337"/>
      <c r="CU159" s="337"/>
      <c r="CV159" s="337"/>
      <c r="CW159" s="337"/>
      <c r="CX159" s="337"/>
      <c r="CY159" s="337"/>
      <c r="CZ159" s="337"/>
      <c r="DA159" s="337"/>
      <c r="DB159" s="337"/>
      <c r="DC159" s="337"/>
      <c r="DD159" s="337"/>
      <c r="DE159" s="337"/>
      <c r="DF159" s="337"/>
      <c r="DG159" s="337"/>
      <c r="DH159" s="337"/>
      <c r="DI159" s="337"/>
      <c r="DJ159" s="337"/>
      <c r="DK159" s="337"/>
      <c r="DL159" s="337"/>
      <c r="DM159" s="337"/>
      <c r="DN159" s="337"/>
      <c r="DO159" s="337"/>
      <c r="DP159" s="337"/>
      <c r="DQ159" s="337"/>
      <c r="DR159" s="337"/>
      <c r="DS159" s="337"/>
      <c r="DT159" s="337"/>
      <c r="DU159" s="337"/>
      <c r="DV159" s="337"/>
      <c r="DW159" s="337"/>
      <c r="DX159" s="337"/>
      <c r="DY159" s="337"/>
      <c r="DZ159" s="337"/>
      <c r="EA159" s="337"/>
      <c r="EB159" s="337"/>
      <c r="EC159" s="337"/>
      <c r="ED159" s="337"/>
      <c r="EE159" s="337"/>
      <c r="EF159" s="337"/>
      <c r="EG159" s="337"/>
      <c r="EH159" s="337"/>
      <c r="EI159" s="337"/>
      <c r="EJ159" s="337"/>
      <c r="EK159" s="337"/>
      <c r="EL159" s="337"/>
      <c r="EM159" s="337"/>
      <c r="EN159" s="337"/>
      <c r="EO159" s="337"/>
      <c r="EP159" s="337"/>
      <c r="EQ159" s="337"/>
      <c r="ER159" s="337"/>
      <c r="ES159" s="337"/>
      <c r="ET159" s="337"/>
      <c r="EU159" s="337"/>
      <c r="EV159" s="337"/>
      <c r="EW159" s="337"/>
      <c r="EX159" s="337"/>
      <c r="EY159" s="337"/>
      <c r="EZ159" s="337"/>
      <c r="FA159" s="337"/>
      <c r="FB159" s="337"/>
      <c r="FC159" s="337"/>
      <c r="FD159" s="337"/>
      <c r="FE159" s="337"/>
      <c r="FF159" s="337"/>
      <c r="FG159" s="337"/>
      <c r="FH159" s="337"/>
      <c r="FI159" s="337"/>
      <c r="FJ159" s="337"/>
      <c r="FK159" s="337"/>
      <c r="FL159" s="337"/>
      <c r="FM159" s="337"/>
      <c r="FN159" s="337"/>
      <c r="FO159" s="337"/>
      <c r="FP159" s="337"/>
      <c r="FQ159" s="337"/>
      <c r="FR159" s="337"/>
      <c r="FS159" s="337"/>
      <c r="FT159" s="337"/>
      <c r="FU159" s="337"/>
      <c r="FV159" s="337"/>
      <c r="FW159" s="337"/>
      <c r="FX159" s="337"/>
      <c r="FY159" s="337"/>
      <c r="FZ159" s="337"/>
      <c r="GA159" s="337"/>
      <c r="GB159" s="337"/>
      <c r="GC159" s="337"/>
      <c r="GD159" s="337"/>
      <c r="GE159" s="337"/>
      <c r="GF159" s="337"/>
      <c r="GG159" s="337"/>
      <c r="GH159" s="337"/>
      <c r="GI159" s="337"/>
      <c r="GJ159" s="337"/>
      <c r="GK159" s="337"/>
    </row>
    <row r="160" spans="1:193" s="118" customFormat="1" ht="11.25" customHeight="1" x14ac:dyDescent="0.15">
      <c r="A160" s="144" t="s">
        <v>422</v>
      </c>
      <c r="B160" s="134">
        <v>0.05</v>
      </c>
      <c r="C160" s="145">
        <f t="shared" si="74"/>
        <v>89.427807547481422</v>
      </c>
      <c r="D160" s="196">
        <f t="shared" si="68"/>
        <v>89427.807547481425</v>
      </c>
      <c r="E160" s="274">
        <f>75000</f>
        <v>75000</v>
      </c>
      <c r="F160" s="304">
        <f t="shared" ref="F160:F162" si="83">K160/2</f>
        <v>14.2995</v>
      </c>
      <c r="G160" s="334">
        <f t="shared" si="79"/>
        <v>7149.75</v>
      </c>
      <c r="H160" s="335">
        <f t="shared" si="80"/>
        <v>28599</v>
      </c>
      <c r="I160" s="200"/>
      <c r="J160" s="307">
        <v>100</v>
      </c>
      <c r="K160" s="43">
        <f t="shared" si="47"/>
        <v>28.599</v>
      </c>
      <c r="L160" s="200">
        <v>28599</v>
      </c>
      <c r="M160" s="196">
        <f t="shared" si="82"/>
        <v>0</v>
      </c>
      <c r="N160" s="36"/>
      <c r="O160" s="407">
        <f t="shared" si="64"/>
        <v>0</v>
      </c>
      <c r="P160" s="408"/>
      <c r="Q160" s="308">
        <f t="shared" si="65"/>
        <v>0</v>
      </c>
      <c r="R160" s="196">
        <f t="shared" si="70"/>
        <v>0</v>
      </c>
      <c r="S160" s="200"/>
      <c r="T160" s="266"/>
      <c r="U160" s="227">
        <f t="shared" si="43"/>
        <v>14427.807547481425</v>
      </c>
      <c r="V160" s="36">
        <f t="shared" si="71"/>
        <v>89.427807547481422</v>
      </c>
      <c r="W160" s="36">
        <f t="shared" si="72"/>
        <v>14.2995</v>
      </c>
      <c r="X160" s="248">
        <f t="shared" si="77"/>
        <v>100</v>
      </c>
      <c r="Y160" s="43">
        <f t="shared" si="77"/>
        <v>28.599</v>
      </c>
      <c r="Z160" s="250"/>
      <c r="AA160" s="174"/>
      <c r="AB160" s="252"/>
      <c r="AC160" s="337"/>
      <c r="AD160" s="252"/>
      <c r="AE160" s="390"/>
      <c r="AF160" s="337"/>
      <c r="AG160" s="337"/>
      <c r="AH160" s="337"/>
      <c r="AI160" s="337"/>
      <c r="AJ160" s="337"/>
      <c r="AK160" s="337"/>
      <c r="AL160" s="337"/>
      <c r="AM160" s="337"/>
      <c r="AN160" s="337"/>
      <c r="AO160" s="337"/>
      <c r="AP160" s="337"/>
      <c r="AQ160" s="337"/>
      <c r="AR160" s="337"/>
      <c r="AS160" s="337"/>
      <c r="AT160" s="337"/>
      <c r="AU160" s="337"/>
      <c r="AV160" s="337"/>
      <c r="AW160" s="337"/>
      <c r="AX160" s="337"/>
      <c r="AY160" s="337"/>
      <c r="AZ160" s="337"/>
      <c r="BA160" s="337"/>
      <c r="BB160" s="337"/>
      <c r="BC160" s="337"/>
      <c r="BD160" s="337"/>
      <c r="BE160" s="337"/>
      <c r="BF160" s="337"/>
      <c r="BG160" s="337"/>
      <c r="BH160" s="337"/>
      <c r="BI160" s="337"/>
      <c r="BJ160" s="337"/>
      <c r="BK160" s="337"/>
      <c r="BL160" s="337"/>
      <c r="BM160" s="337"/>
      <c r="BN160" s="337"/>
      <c r="BO160" s="337"/>
      <c r="BP160" s="337"/>
      <c r="BQ160" s="337"/>
      <c r="BR160" s="337"/>
      <c r="BS160" s="337"/>
      <c r="BT160" s="337"/>
      <c r="BU160" s="337"/>
      <c r="BV160" s="337"/>
      <c r="BW160" s="337"/>
      <c r="BX160" s="337"/>
      <c r="BY160" s="337"/>
      <c r="BZ160" s="337"/>
      <c r="CA160" s="337"/>
      <c r="CB160" s="337"/>
      <c r="CC160" s="337"/>
      <c r="CD160" s="337"/>
      <c r="CE160" s="337"/>
      <c r="CF160" s="337"/>
      <c r="CG160" s="337"/>
      <c r="CH160" s="337"/>
      <c r="CI160" s="337"/>
      <c r="CJ160" s="337"/>
      <c r="CK160" s="337"/>
      <c r="CL160" s="337"/>
      <c r="CM160" s="337"/>
      <c r="CN160" s="337"/>
      <c r="CO160" s="337"/>
      <c r="CP160" s="337"/>
      <c r="CQ160" s="337"/>
      <c r="CR160" s="337"/>
      <c r="CS160" s="337"/>
      <c r="CT160" s="337"/>
      <c r="CU160" s="337"/>
      <c r="CV160" s="337"/>
      <c r="CW160" s="337"/>
      <c r="CX160" s="337"/>
      <c r="CY160" s="337"/>
      <c r="CZ160" s="337"/>
      <c r="DA160" s="337"/>
      <c r="DB160" s="337"/>
      <c r="DC160" s="337"/>
      <c r="DD160" s="337"/>
      <c r="DE160" s="337"/>
      <c r="DF160" s="337"/>
      <c r="DG160" s="337"/>
      <c r="DH160" s="337"/>
      <c r="DI160" s="337"/>
      <c r="DJ160" s="337"/>
      <c r="DK160" s="337"/>
      <c r="DL160" s="337"/>
      <c r="DM160" s="337"/>
      <c r="DN160" s="337"/>
      <c r="DO160" s="337"/>
      <c r="DP160" s="337"/>
      <c r="DQ160" s="337"/>
      <c r="DR160" s="337"/>
      <c r="DS160" s="337"/>
      <c r="DT160" s="337"/>
      <c r="DU160" s="337"/>
      <c r="DV160" s="337"/>
      <c r="DW160" s="337"/>
      <c r="DX160" s="337"/>
      <c r="DY160" s="337"/>
      <c r="DZ160" s="337"/>
      <c r="EA160" s="337"/>
      <c r="EB160" s="337"/>
      <c r="EC160" s="337"/>
      <c r="ED160" s="337"/>
      <c r="EE160" s="337"/>
      <c r="EF160" s="337"/>
      <c r="EG160" s="337"/>
      <c r="EH160" s="337"/>
      <c r="EI160" s="337"/>
      <c r="EJ160" s="337"/>
      <c r="EK160" s="337"/>
      <c r="EL160" s="337"/>
      <c r="EM160" s="337"/>
      <c r="EN160" s="337"/>
      <c r="EO160" s="337"/>
      <c r="EP160" s="337"/>
      <c r="EQ160" s="337"/>
      <c r="ER160" s="337"/>
      <c r="ES160" s="337"/>
      <c r="ET160" s="337"/>
      <c r="EU160" s="337"/>
      <c r="EV160" s="337"/>
      <c r="EW160" s="337"/>
      <c r="EX160" s="337"/>
      <c r="EY160" s="337"/>
      <c r="EZ160" s="337"/>
      <c r="FA160" s="337"/>
      <c r="FB160" s="337"/>
      <c r="FC160" s="337"/>
      <c r="FD160" s="337"/>
      <c r="FE160" s="337"/>
      <c r="FF160" s="337"/>
      <c r="FG160" s="337"/>
      <c r="FH160" s="337"/>
      <c r="FI160" s="337"/>
      <c r="FJ160" s="337"/>
      <c r="FK160" s="337"/>
      <c r="FL160" s="337"/>
      <c r="FM160" s="337"/>
      <c r="FN160" s="337"/>
      <c r="FO160" s="337"/>
      <c r="FP160" s="337"/>
      <c r="FQ160" s="337"/>
      <c r="FR160" s="337"/>
      <c r="FS160" s="337"/>
      <c r="FT160" s="337"/>
      <c r="FU160" s="337"/>
      <c r="FV160" s="337"/>
      <c r="FW160" s="337"/>
      <c r="FX160" s="337"/>
      <c r="FY160" s="337"/>
      <c r="FZ160" s="337"/>
      <c r="GA160" s="337"/>
      <c r="GB160" s="337"/>
      <c r="GC160" s="337"/>
      <c r="GD160" s="337"/>
      <c r="GE160" s="337"/>
      <c r="GF160" s="337"/>
      <c r="GG160" s="337"/>
      <c r="GH160" s="337"/>
      <c r="GI160" s="337"/>
      <c r="GJ160" s="337"/>
      <c r="GK160" s="337"/>
    </row>
    <row r="161" spans="1:193" s="118" customFormat="1" ht="10.5" customHeight="1" x14ac:dyDescent="0.15">
      <c r="A161" s="152" t="s">
        <v>424</v>
      </c>
      <c r="B161" s="125">
        <v>1</v>
      </c>
      <c r="C161" s="140">
        <f t="shared" si="74"/>
        <v>521.23631094962843</v>
      </c>
      <c r="D161" s="195">
        <f t="shared" si="68"/>
        <v>521236.31094962847</v>
      </c>
      <c r="E161" s="273">
        <f>73197.56+113181+5925+1635.77+26740.83+12000</f>
        <v>232680.15999999997</v>
      </c>
      <c r="F161" s="301">
        <f t="shared" si="83"/>
        <v>535.98749999999995</v>
      </c>
      <c r="G161" s="258">
        <f t="shared" si="79"/>
        <v>267993.75</v>
      </c>
      <c r="H161" s="246">
        <f t="shared" si="80"/>
        <v>571975</v>
      </c>
      <c r="I161" s="198">
        <v>500000</v>
      </c>
      <c r="J161" s="305">
        <f t="shared" si="66"/>
        <v>1071.9749999999999</v>
      </c>
      <c r="K161" s="41">
        <f t="shared" si="47"/>
        <v>1071.9749999999999</v>
      </c>
      <c r="L161" s="198">
        <v>1071975</v>
      </c>
      <c r="M161" s="195">
        <f t="shared" si="82"/>
        <v>-3638.4703000000004</v>
      </c>
      <c r="N161" s="33"/>
      <c r="O161" s="405">
        <f>R161/2</f>
        <v>-3425</v>
      </c>
      <c r="P161" s="406"/>
      <c r="Q161" s="309">
        <v>-6500</v>
      </c>
      <c r="R161" s="41">
        <f t="shared" si="70"/>
        <v>-6850</v>
      </c>
      <c r="S161" s="198">
        <v>6850000</v>
      </c>
      <c r="T161" s="265">
        <f>2665778.41+125000+10000+389763.93+48655.96+150000+79272+170000</f>
        <v>3638470.3000000003</v>
      </c>
      <c r="U161" s="210">
        <f t="shared" si="43"/>
        <v>288556.1509496285</v>
      </c>
      <c r="V161" s="33">
        <f t="shared" si="71"/>
        <v>-3117.2339890503717</v>
      </c>
      <c r="W161" s="33">
        <f t="shared" si="72"/>
        <v>-2889.0124999999998</v>
      </c>
      <c r="X161" s="306">
        <f>J161+Q161</f>
        <v>-5428.0249999999996</v>
      </c>
      <c r="Y161" s="41">
        <f t="shared" si="77"/>
        <v>-5778.0249999999996</v>
      </c>
      <c r="Z161" s="250">
        <f t="shared" si="55"/>
        <v>896.73183395540866</v>
      </c>
      <c r="AA161" s="174">
        <f t="shared" si="56"/>
        <v>1061.77567</v>
      </c>
      <c r="AB161" s="252"/>
      <c r="AC161" s="337"/>
      <c r="AD161" s="252"/>
      <c r="AE161" s="390"/>
      <c r="AF161" s="337"/>
      <c r="AG161" s="337"/>
      <c r="AH161" s="337"/>
      <c r="AI161" s="337"/>
      <c r="AJ161" s="337"/>
      <c r="AK161" s="337"/>
      <c r="AL161" s="337"/>
      <c r="AM161" s="337"/>
      <c r="AN161" s="337"/>
      <c r="AO161" s="337"/>
      <c r="AP161" s="337"/>
      <c r="AQ161" s="337"/>
      <c r="AR161" s="337"/>
      <c r="AS161" s="337"/>
      <c r="AT161" s="337"/>
      <c r="AU161" s="337"/>
      <c r="AV161" s="337"/>
      <c r="AW161" s="337"/>
      <c r="AX161" s="337"/>
      <c r="AY161" s="337"/>
      <c r="AZ161" s="337"/>
      <c r="BA161" s="337"/>
      <c r="BB161" s="337"/>
      <c r="BC161" s="337"/>
      <c r="BD161" s="337"/>
      <c r="BE161" s="337"/>
      <c r="BF161" s="337"/>
      <c r="BG161" s="337"/>
      <c r="BH161" s="337"/>
      <c r="BI161" s="337"/>
      <c r="BJ161" s="337"/>
      <c r="BK161" s="337"/>
      <c r="BL161" s="337"/>
      <c r="BM161" s="337"/>
      <c r="BN161" s="337"/>
      <c r="BO161" s="337"/>
      <c r="BP161" s="337"/>
      <c r="BQ161" s="337"/>
      <c r="BR161" s="337"/>
      <c r="BS161" s="337"/>
      <c r="BT161" s="337"/>
      <c r="BU161" s="337"/>
      <c r="BV161" s="337"/>
      <c r="BW161" s="337"/>
      <c r="BX161" s="337"/>
      <c r="BY161" s="337"/>
      <c r="BZ161" s="337"/>
      <c r="CA161" s="337"/>
      <c r="CB161" s="337"/>
      <c r="CC161" s="337"/>
      <c r="CD161" s="337"/>
      <c r="CE161" s="337"/>
      <c r="CF161" s="337"/>
      <c r="CG161" s="337"/>
      <c r="CH161" s="337"/>
      <c r="CI161" s="337"/>
      <c r="CJ161" s="337"/>
      <c r="CK161" s="337"/>
      <c r="CL161" s="337"/>
      <c r="CM161" s="337"/>
      <c r="CN161" s="337"/>
      <c r="CO161" s="337"/>
      <c r="CP161" s="337"/>
      <c r="CQ161" s="337"/>
      <c r="CR161" s="337"/>
      <c r="CS161" s="337"/>
      <c r="CT161" s="337"/>
      <c r="CU161" s="337"/>
      <c r="CV161" s="337"/>
      <c r="CW161" s="337"/>
      <c r="CX161" s="337"/>
      <c r="CY161" s="337"/>
      <c r="CZ161" s="337"/>
      <c r="DA161" s="337"/>
      <c r="DB161" s="337"/>
      <c r="DC161" s="337"/>
      <c r="DD161" s="337"/>
      <c r="DE161" s="337"/>
      <c r="DF161" s="337"/>
      <c r="DG161" s="337"/>
      <c r="DH161" s="337"/>
      <c r="DI161" s="337"/>
      <c r="DJ161" s="337"/>
      <c r="DK161" s="337"/>
      <c r="DL161" s="337"/>
      <c r="DM161" s="337"/>
      <c r="DN161" s="337"/>
      <c r="DO161" s="337"/>
      <c r="DP161" s="337"/>
      <c r="DQ161" s="337"/>
      <c r="DR161" s="337"/>
      <c r="DS161" s="337"/>
      <c r="DT161" s="337"/>
      <c r="DU161" s="337"/>
      <c r="DV161" s="337"/>
      <c r="DW161" s="337"/>
      <c r="DX161" s="337"/>
      <c r="DY161" s="337"/>
      <c r="DZ161" s="337"/>
      <c r="EA161" s="337"/>
      <c r="EB161" s="337"/>
      <c r="EC161" s="337"/>
      <c r="ED161" s="337"/>
      <c r="EE161" s="337"/>
      <c r="EF161" s="337"/>
      <c r="EG161" s="337"/>
      <c r="EH161" s="337"/>
      <c r="EI161" s="337"/>
      <c r="EJ161" s="337"/>
      <c r="EK161" s="337"/>
      <c r="EL161" s="337"/>
      <c r="EM161" s="337"/>
      <c r="EN161" s="337"/>
      <c r="EO161" s="337"/>
      <c r="EP161" s="337"/>
      <c r="EQ161" s="337"/>
      <c r="ER161" s="337"/>
      <c r="ES161" s="337"/>
      <c r="ET161" s="337"/>
      <c r="EU161" s="337"/>
      <c r="EV161" s="337"/>
      <c r="EW161" s="337"/>
      <c r="EX161" s="337"/>
      <c r="EY161" s="337"/>
      <c r="EZ161" s="337"/>
      <c r="FA161" s="337"/>
      <c r="FB161" s="337"/>
      <c r="FC161" s="337"/>
      <c r="FD161" s="337"/>
      <c r="FE161" s="337"/>
      <c r="FF161" s="337"/>
      <c r="FG161" s="337"/>
      <c r="FH161" s="337"/>
      <c r="FI161" s="337"/>
      <c r="FJ161" s="337"/>
      <c r="FK161" s="337"/>
      <c r="FL161" s="337"/>
      <c r="FM161" s="337"/>
      <c r="FN161" s="337"/>
      <c r="FO161" s="337"/>
      <c r="FP161" s="337"/>
      <c r="FQ161" s="337"/>
      <c r="FR161" s="337"/>
      <c r="FS161" s="337"/>
      <c r="FT161" s="337"/>
      <c r="FU161" s="337"/>
      <c r="FV161" s="337"/>
      <c r="FW161" s="337"/>
      <c r="FX161" s="337"/>
      <c r="FY161" s="337"/>
      <c r="FZ161" s="337"/>
      <c r="GA161" s="337"/>
      <c r="GB161" s="337"/>
      <c r="GC161" s="337"/>
      <c r="GD161" s="337"/>
      <c r="GE161" s="337"/>
      <c r="GF161" s="337"/>
      <c r="GG161" s="337"/>
      <c r="GH161" s="337"/>
      <c r="GI161" s="337"/>
      <c r="GJ161" s="337"/>
      <c r="GK161" s="337"/>
    </row>
    <row r="162" spans="1:193" s="184" customFormat="1" x14ac:dyDescent="0.15">
      <c r="A162" s="152" t="s">
        <v>425</v>
      </c>
      <c r="B162" s="125">
        <v>1.1000000000000001</v>
      </c>
      <c r="C162" s="140">
        <f t="shared" si="74"/>
        <v>582.44116604459134</v>
      </c>
      <c r="D162" s="195">
        <f t="shared" si="68"/>
        <v>582441.16604459134</v>
      </c>
      <c r="E162" s="273">
        <f>47483.28+214702.21+2843.91</f>
        <v>265029.39999999997</v>
      </c>
      <c r="F162" s="301">
        <f t="shared" si="83"/>
        <v>739.5865</v>
      </c>
      <c r="G162" s="258">
        <f t="shared" si="79"/>
        <v>369793.25</v>
      </c>
      <c r="H162" s="246">
        <f t="shared" si="80"/>
        <v>879173</v>
      </c>
      <c r="I162" s="198">
        <v>600000</v>
      </c>
      <c r="J162" s="305">
        <f t="shared" si="66"/>
        <v>1479.173</v>
      </c>
      <c r="K162" s="41">
        <f t="shared" si="47"/>
        <v>1479.173</v>
      </c>
      <c r="L162" s="198">
        <v>1479173</v>
      </c>
      <c r="M162" s="195">
        <f t="shared" si="82"/>
        <v>-438.22432999999995</v>
      </c>
      <c r="N162" s="33"/>
      <c r="O162" s="405">
        <f>R162/2</f>
        <v>-700</v>
      </c>
      <c r="P162" s="406">
        <f t="shared" si="76"/>
        <v>1050000</v>
      </c>
      <c r="Q162" s="309">
        <v>-1500</v>
      </c>
      <c r="R162" s="41">
        <f t="shared" si="70"/>
        <v>-1400</v>
      </c>
      <c r="S162" s="198">
        <v>1400000</v>
      </c>
      <c r="T162" s="265">
        <f>37500+7089.6+342651.2+50983.53</f>
        <v>438224.32999999996</v>
      </c>
      <c r="U162" s="210">
        <f t="shared" si="43"/>
        <v>317411.76604459138</v>
      </c>
      <c r="V162" s="33">
        <f t="shared" si="71"/>
        <v>144.21683604459139</v>
      </c>
      <c r="W162" s="33">
        <f t="shared" si="72"/>
        <v>39.586500000000001</v>
      </c>
      <c r="X162" s="306">
        <f>J162+Q162</f>
        <v>-20.826999999999998</v>
      </c>
      <c r="Y162" s="41">
        <f t="shared" si="77"/>
        <v>79.173000000000002</v>
      </c>
      <c r="Z162" s="250">
        <f t="shared" si="55"/>
        <v>5575.747622606109</v>
      </c>
      <c r="AA162" s="174">
        <f t="shared" si="56"/>
        <v>99.546809999999965</v>
      </c>
      <c r="AB162" s="252"/>
      <c r="AC162" s="338"/>
      <c r="AD162" s="252"/>
      <c r="AE162" s="338"/>
      <c r="AF162" s="338"/>
      <c r="AG162" s="338"/>
      <c r="AH162" s="338"/>
      <c r="AI162" s="338"/>
      <c r="AJ162" s="338"/>
      <c r="AK162" s="338"/>
      <c r="AL162" s="338"/>
      <c r="AM162" s="338"/>
      <c r="AN162" s="338"/>
      <c r="AO162" s="338"/>
      <c r="AP162" s="338"/>
      <c r="AQ162" s="338"/>
      <c r="AR162" s="338"/>
      <c r="AS162" s="338"/>
      <c r="AT162" s="338"/>
      <c r="AU162" s="338"/>
      <c r="AV162" s="338"/>
      <c r="AW162" s="338"/>
      <c r="AX162" s="338"/>
      <c r="AY162" s="338"/>
      <c r="AZ162" s="338"/>
      <c r="BA162" s="338"/>
      <c r="BB162" s="338"/>
      <c r="BC162" s="338"/>
      <c r="BD162" s="338"/>
      <c r="BE162" s="338"/>
      <c r="BF162" s="338"/>
      <c r="BG162" s="338"/>
      <c r="BH162" s="338"/>
      <c r="BI162" s="338"/>
      <c r="BJ162" s="338"/>
      <c r="BK162" s="338"/>
      <c r="BL162" s="338"/>
      <c r="BM162" s="338"/>
      <c r="BN162" s="338"/>
      <c r="BO162" s="338"/>
      <c r="BP162" s="338"/>
      <c r="BQ162" s="338"/>
      <c r="BR162" s="338"/>
      <c r="BS162" s="338"/>
      <c r="BT162" s="338"/>
      <c r="BU162" s="338"/>
      <c r="BV162" s="338"/>
      <c r="BW162" s="338"/>
      <c r="BX162" s="338"/>
      <c r="BY162" s="338"/>
      <c r="BZ162" s="338"/>
      <c r="CA162" s="338"/>
      <c r="CB162" s="338"/>
      <c r="CC162" s="338"/>
      <c r="CD162" s="338"/>
      <c r="CE162" s="338"/>
      <c r="CF162" s="338"/>
      <c r="CG162" s="338"/>
      <c r="CH162" s="338"/>
      <c r="CI162" s="338"/>
      <c r="CJ162" s="338"/>
      <c r="CK162" s="338"/>
      <c r="CL162" s="338"/>
      <c r="CM162" s="338"/>
      <c r="CN162" s="338"/>
      <c r="CO162" s="338"/>
      <c r="CP162" s="338"/>
      <c r="CQ162" s="338"/>
      <c r="CR162" s="338"/>
      <c r="CS162" s="338"/>
      <c r="CT162" s="338"/>
      <c r="CU162" s="338"/>
      <c r="CV162" s="338"/>
      <c r="CW162" s="338"/>
      <c r="CX162" s="338"/>
      <c r="CY162" s="338"/>
      <c r="CZ162" s="338"/>
      <c r="DA162" s="338"/>
      <c r="DB162" s="338"/>
      <c r="DC162" s="338"/>
      <c r="DD162" s="338"/>
      <c r="DE162" s="338"/>
      <c r="DF162" s="338"/>
      <c r="DG162" s="338"/>
      <c r="DH162" s="338"/>
      <c r="DI162" s="338"/>
      <c r="DJ162" s="338"/>
      <c r="DK162" s="338"/>
      <c r="DL162" s="338"/>
      <c r="DM162" s="338"/>
      <c r="DN162" s="338"/>
      <c r="DO162" s="338"/>
      <c r="DP162" s="338"/>
      <c r="DQ162" s="338"/>
      <c r="DR162" s="338"/>
      <c r="DS162" s="338"/>
      <c r="DT162" s="338"/>
      <c r="DU162" s="338"/>
      <c r="DV162" s="338"/>
      <c r="DW162" s="338"/>
      <c r="DX162" s="338"/>
      <c r="DY162" s="338"/>
      <c r="DZ162" s="338"/>
      <c r="EA162" s="338"/>
      <c r="EB162" s="338"/>
      <c r="EC162" s="338"/>
      <c r="ED162" s="338"/>
      <c r="EE162" s="338"/>
      <c r="EF162" s="338"/>
      <c r="EG162" s="338"/>
      <c r="EH162" s="338"/>
      <c r="EI162" s="338"/>
      <c r="EJ162" s="338"/>
      <c r="EK162" s="338"/>
      <c r="EL162" s="338"/>
      <c r="EM162" s="338"/>
      <c r="EN162" s="338"/>
      <c r="EO162" s="338"/>
      <c r="EP162" s="338"/>
      <c r="EQ162" s="338"/>
      <c r="ER162" s="338"/>
      <c r="ES162" s="338"/>
      <c r="ET162" s="338"/>
      <c r="EU162" s="338"/>
      <c r="EV162" s="338"/>
      <c r="EW162" s="338"/>
      <c r="EX162" s="338"/>
      <c r="EY162" s="338"/>
      <c r="EZ162" s="338"/>
      <c r="FA162" s="338"/>
      <c r="FB162" s="338"/>
      <c r="FC162" s="338"/>
      <c r="FD162" s="338"/>
      <c r="FE162" s="338"/>
      <c r="FF162" s="338"/>
      <c r="FG162" s="338"/>
      <c r="FH162" s="338"/>
      <c r="FI162" s="338"/>
      <c r="FJ162" s="338"/>
      <c r="FK162" s="338"/>
      <c r="FL162" s="338"/>
      <c r="FM162" s="338"/>
      <c r="FN162" s="338"/>
      <c r="FO162" s="338"/>
      <c r="FP162" s="338"/>
      <c r="FQ162" s="338"/>
      <c r="FR162" s="338"/>
      <c r="FS162" s="338"/>
      <c r="FT162" s="338"/>
      <c r="FU162" s="338"/>
      <c r="FV162" s="338"/>
      <c r="FW162" s="338"/>
      <c r="FX162" s="338"/>
      <c r="FY162" s="338"/>
      <c r="FZ162" s="338"/>
      <c r="GA162" s="338"/>
      <c r="GB162" s="338"/>
      <c r="GC162" s="338"/>
      <c r="GD162" s="338"/>
      <c r="GE162" s="338"/>
      <c r="GF162" s="338"/>
      <c r="GG162" s="338"/>
      <c r="GH162" s="338"/>
      <c r="GI162" s="338"/>
      <c r="GJ162" s="338"/>
      <c r="GK162" s="338"/>
    </row>
    <row r="163" spans="1:193" s="118" customFormat="1" ht="9.9499999999999993" customHeight="1" x14ac:dyDescent="0.15">
      <c r="A163" s="183" t="s">
        <v>86</v>
      </c>
      <c r="B163" s="180">
        <f>B164+B165+B166+B167+B168+B169</f>
        <v>5.68</v>
      </c>
      <c r="C163" s="170">
        <f t="shared" si="74"/>
        <v>5782.5963773938902</v>
      </c>
      <c r="D163" s="191">
        <f>E163+U163</f>
        <v>5782596.3773938902</v>
      </c>
      <c r="E163" s="191">
        <f>SUM(E164:E169)</f>
        <v>4143597.44</v>
      </c>
      <c r="F163" s="280">
        <f>K163/2</f>
        <v>5909.4089999999997</v>
      </c>
      <c r="G163" s="315">
        <f t="shared" si="79"/>
        <v>2954704.5</v>
      </c>
      <c r="H163" s="294">
        <f t="shared" si="80"/>
        <v>3248818</v>
      </c>
      <c r="I163" s="198">
        <f>I164+I165+I166+I167+I168+I169</f>
        <v>8570000</v>
      </c>
      <c r="J163" s="280">
        <f>SUM(J164:J169)</f>
        <v>11358.343999999999</v>
      </c>
      <c r="K163" s="191">
        <f t="shared" si="47"/>
        <v>11818.817999999999</v>
      </c>
      <c r="L163" s="191">
        <f>SUM(L164:L170)</f>
        <v>11818818</v>
      </c>
      <c r="M163" s="191">
        <f t="shared" si="82"/>
        <v>-200.65619000000001</v>
      </c>
      <c r="N163" s="191">
        <f>N164+N165+N166+N167+N168+N169</f>
        <v>0</v>
      </c>
      <c r="O163" s="404">
        <f>R163/2</f>
        <v>-150</v>
      </c>
      <c r="P163" s="404">
        <f t="shared" si="76"/>
        <v>225000</v>
      </c>
      <c r="Q163" s="404">
        <f>Q164+Q165+Q166+Q167+Q168+Q169</f>
        <v>-300.20299999999997</v>
      </c>
      <c r="R163" s="171">
        <f t="shared" si="70"/>
        <v>-300</v>
      </c>
      <c r="S163" s="191">
        <f>SUM(S164:S170)</f>
        <v>300000</v>
      </c>
      <c r="T163" s="191">
        <f>T164+T165+T166+T167+T168+T169</f>
        <v>200656.19</v>
      </c>
      <c r="U163" s="210">
        <f>SUM(U164:U169)</f>
        <v>1638998.9373938898</v>
      </c>
      <c r="V163" s="173">
        <f t="shared" si="71"/>
        <v>5581.9401873938905</v>
      </c>
      <c r="W163" s="173">
        <f t="shared" si="72"/>
        <v>5759.4089999999997</v>
      </c>
      <c r="X163" s="191">
        <f>SUM(X164:X169)</f>
        <v>11058.141</v>
      </c>
      <c r="Y163" s="171">
        <f t="shared" si="77"/>
        <v>11518.817999999999</v>
      </c>
      <c r="Z163" s="250">
        <f t="shared" si="55"/>
        <v>294.81052433525997</v>
      </c>
      <c r="AA163" s="174">
        <f t="shared" si="56"/>
        <v>0</v>
      </c>
      <c r="AB163" s="252"/>
      <c r="AC163" s="337"/>
      <c r="AD163" s="252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/>
      <c r="AO163" s="337"/>
      <c r="AP163" s="337"/>
      <c r="AQ163" s="337"/>
      <c r="AR163" s="337"/>
      <c r="AS163" s="337"/>
      <c r="AT163" s="337"/>
      <c r="AU163" s="337"/>
      <c r="AV163" s="337"/>
      <c r="AW163" s="337"/>
      <c r="AX163" s="337"/>
      <c r="AY163" s="337"/>
      <c r="AZ163" s="337"/>
      <c r="BA163" s="337"/>
      <c r="BB163" s="337"/>
      <c r="BC163" s="337"/>
      <c r="BD163" s="337"/>
      <c r="BE163" s="337"/>
      <c r="BF163" s="337"/>
      <c r="BG163" s="337"/>
      <c r="BH163" s="337"/>
      <c r="BI163" s="337"/>
      <c r="BJ163" s="337"/>
      <c r="BK163" s="337"/>
      <c r="BL163" s="337"/>
      <c r="BM163" s="337"/>
      <c r="BN163" s="337"/>
      <c r="BO163" s="337"/>
      <c r="BP163" s="337"/>
      <c r="BQ163" s="337"/>
      <c r="BR163" s="337"/>
      <c r="BS163" s="337"/>
      <c r="BT163" s="337"/>
      <c r="BU163" s="337"/>
      <c r="BV163" s="337"/>
      <c r="BW163" s="337"/>
      <c r="BX163" s="337"/>
      <c r="BY163" s="337"/>
      <c r="BZ163" s="337"/>
      <c r="CA163" s="337"/>
      <c r="CB163" s="337"/>
      <c r="CC163" s="337"/>
      <c r="CD163" s="337"/>
      <c r="CE163" s="337"/>
      <c r="CF163" s="337"/>
      <c r="CG163" s="337"/>
      <c r="CH163" s="337"/>
      <c r="CI163" s="337"/>
      <c r="CJ163" s="337"/>
      <c r="CK163" s="337"/>
      <c r="CL163" s="337"/>
      <c r="CM163" s="337"/>
      <c r="CN163" s="337"/>
      <c r="CO163" s="337"/>
      <c r="CP163" s="337"/>
      <c r="CQ163" s="337"/>
      <c r="CR163" s="337"/>
      <c r="CS163" s="337"/>
      <c r="CT163" s="337"/>
      <c r="CU163" s="337"/>
      <c r="CV163" s="337"/>
      <c r="CW163" s="337"/>
      <c r="CX163" s="337"/>
      <c r="CY163" s="337"/>
      <c r="CZ163" s="337"/>
      <c r="DA163" s="337"/>
      <c r="DB163" s="337"/>
      <c r="DC163" s="337"/>
      <c r="DD163" s="337"/>
      <c r="DE163" s="337"/>
      <c r="DF163" s="337"/>
      <c r="DG163" s="337"/>
      <c r="DH163" s="337"/>
      <c r="DI163" s="337"/>
      <c r="DJ163" s="337"/>
      <c r="DK163" s="337"/>
      <c r="DL163" s="337"/>
      <c r="DM163" s="337"/>
      <c r="DN163" s="337"/>
      <c r="DO163" s="337"/>
      <c r="DP163" s="337"/>
      <c r="DQ163" s="337"/>
      <c r="DR163" s="337"/>
      <c r="DS163" s="337"/>
      <c r="DT163" s="337"/>
      <c r="DU163" s="337"/>
      <c r="DV163" s="337"/>
      <c r="DW163" s="337"/>
      <c r="DX163" s="337"/>
      <c r="DY163" s="337"/>
      <c r="DZ163" s="337"/>
      <c r="EA163" s="337"/>
      <c r="EB163" s="337"/>
      <c r="EC163" s="337"/>
      <c r="ED163" s="337"/>
      <c r="EE163" s="337"/>
      <c r="EF163" s="337"/>
      <c r="EG163" s="337"/>
      <c r="EH163" s="337"/>
      <c r="EI163" s="337"/>
      <c r="EJ163" s="337"/>
      <c r="EK163" s="337"/>
      <c r="EL163" s="337"/>
      <c r="EM163" s="337"/>
      <c r="EN163" s="337"/>
      <c r="EO163" s="337"/>
      <c r="EP163" s="337"/>
      <c r="EQ163" s="337"/>
      <c r="ER163" s="337"/>
      <c r="ES163" s="337"/>
      <c r="ET163" s="337"/>
      <c r="EU163" s="337"/>
      <c r="EV163" s="337"/>
      <c r="EW163" s="337"/>
      <c r="EX163" s="337"/>
      <c r="EY163" s="337"/>
      <c r="EZ163" s="337"/>
      <c r="FA163" s="337"/>
      <c r="FB163" s="337"/>
      <c r="FC163" s="337"/>
      <c r="FD163" s="337"/>
      <c r="FE163" s="337"/>
      <c r="FF163" s="337"/>
      <c r="FG163" s="337"/>
      <c r="FH163" s="337"/>
      <c r="FI163" s="337"/>
      <c r="FJ163" s="337"/>
      <c r="FK163" s="337"/>
      <c r="FL163" s="337"/>
      <c r="FM163" s="337"/>
      <c r="FN163" s="337"/>
      <c r="FO163" s="337"/>
      <c r="FP163" s="337"/>
      <c r="FQ163" s="337"/>
      <c r="FR163" s="337"/>
      <c r="FS163" s="337"/>
      <c r="FT163" s="337"/>
      <c r="FU163" s="337"/>
      <c r="FV163" s="337"/>
      <c r="FW163" s="337"/>
      <c r="FX163" s="337"/>
      <c r="FY163" s="337"/>
      <c r="FZ163" s="337"/>
      <c r="GA163" s="337"/>
      <c r="GB163" s="337"/>
      <c r="GC163" s="337"/>
      <c r="GD163" s="337"/>
      <c r="GE163" s="337"/>
      <c r="GF163" s="337"/>
      <c r="GG163" s="337"/>
      <c r="GH163" s="337"/>
      <c r="GI163" s="337"/>
      <c r="GJ163" s="337"/>
      <c r="GK163" s="337"/>
    </row>
    <row r="164" spans="1:193" s="118" customFormat="1" ht="9.9499999999999993" customHeight="1" x14ac:dyDescent="0.15">
      <c r="A164" s="152" t="s">
        <v>426</v>
      </c>
      <c r="B164" s="125">
        <v>0.7</v>
      </c>
      <c r="C164" s="140">
        <f t="shared" si="74"/>
        <v>255.57147566473995</v>
      </c>
      <c r="D164" s="195">
        <f t="shared" si="68"/>
        <v>255571.47566473996</v>
      </c>
      <c r="E164" s="273">
        <f>53532.17+50</f>
        <v>53582.17</v>
      </c>
      <c r="F164" s="301">
        <f>K164/2</f>
        <v>275.19099999999997</v>
      </c>
      <c r="G164" s="258">
        <f t="shared" si="79"/>
        <v>137595.5</v>
      </c>
      <c r="H164" s="246">
        <f t="shared" si="80"/>
        <v>400382</v>
      </c>
      <c r="I164" s="198">
        <v>150000</v>
      </c>
      <c r="J164" s="305">
        <f t="shared" si="66"/>
        <v>550.38199999999995</v>
      </c>
      <c r="K164" s="41">
        <f t="shared" si="47"/>
        <v>550.38199999999995</v>
      </c>
      <c r="L164" s="198">
        <v>550382</v>
      </c>
      <c r="M164" s="195">
        <f t="shared" si="82"/>
        <v>0</v>
      </c>
      <c r="N164" s="36"/>
      <c r="O164" s="405">
        <f t="shared" si="64"/>
        <v>0</v>
      </c>
      <c r="P164" s="406">
        <f t="shared" si="76"/>
        <v>0</v>
      </c>
      <c r="Q164" s="309">
        <f t="shared" si="65"/>
        <v>0</v>
      </c>
      <c r="R164" s="41">
        <f t="shared" si="70"/>
        <v>0</v>
      </c>
      <c r="S164" s="198"/>
      <c r="T164" s="265"/>
      <c r="U164" s="210">
        <f t="shared" si="43"/>
        <v>201989.30566473995</v>
      </c>
      <c r="V164" s="33">
        <f t="shared" si="71"/>
        <v>255.57147566473995</v>
      </c>
      <c r="W164" s="33">
        <f t="shared" si="72"/>
        <v>275.19099999999997</v>
      </c>
      <c r="X164" s="306">
        <f t="shared" ref="X164:Y169" si="84">J164+Q164</f>
        <v>550.38199999999995</v>
      </c>
      <c r="Y164" s="41">
        <f t="shared" si="84"/>
        <v>550.38199999999995</v>
      </c>
      <c r="Z164" s="250">
        <f t="shared" si="55"/>
        <v>794.39658207266712</v>
      </c>
      <c r="AA164" s="174">
        <f t="shared" si="56"/>
        <v>47.760809999999992</v>
      </c>
      <c r="AB164" s="252"/>
      <c r="AC164" s="337"/>
      <c r="AD164" s="252"/>
      <c r="AE164" s="337"/>
      <c r="AF164" s="337"/>
      <c r="AG164" s="337"/>
      <c r="AH164" s="337"/>
      <c r="AI164" s="337"/>
      <c r="AJ164" s="337"/>
      <c r="AK164" s="337"/>
      <c r="AL164" s="337"/>
      <c r="AM164" s="337"/>
      <c r="AN164" s="337"/>
      <c r="AO164" s="337"/>
      <c r="AP164" s="337"/>
      <c r="AQ164" s="337"/>
      <c r="AR164" s="337"/>
      <c r="AS164" s="337"/>
      <c r="AT164" s="337"/>
      <c r="AU164" s="337"/>
      <c r="AV164" s="337"/>
      <c r="AW164" s="337"/>
      <c r="AX164" s="337"/>
      <c r="AY164" s="337"/>
      <c r="AZ164" s="337"/>
      <c r="BA164" s="337"/>
      <c r="BB164" s="337"/>
      <c r="BC164" s="337"/>
      <c r="BD164" s="337"/>
      <c r="BE164" s="337"/>
      <c r="BF164" s="337"/>
      <c r="BG164" s="337"/>
      <c r="BH164" s="337"/>
      <c r="BI164" s="337"/>
      <c r="BJ164" s="337"/>
      <c r="BK164" s="337"/>
      <c r="BL164" s="337"/>
      <c r="BM164" s="337"/>
      <c r="BN164" s="337"/>
      <c r="BO164" s="337"/>
      <c r="BP164" s="337"/>
      <c r="BQ164" s="337"/>
      <c r="BR164" s="337"/>
      <c r="BS164" s="337"/>
      <c r="BT164" s="337"/>
      <c r="BU164" s="337"/>
      <c r="BV164" s="337"/>
      <c r="BW164" s="337"/>
      <c r="BX164" s="337"/>
      <c r="BY164" s="337"/>
      <c r="BZ164" s="337"/>
      <c r="CA164" s="337"/>
      <c r="CB164" s="337"/>
      <c r="CC164" s="337"/>
      <c r="CD164" s="337"/>
      <c r="CE164" s="337"/>
      <c r="CF164" s="337"/>
      <c r="CG164" s="337"/>
      <c r="CH164" s="337"/>
      <c r="CI164" s="337"/>
      <c r="CJ164" s="337"/>
      <c r="CK164" s="337"/>
      <c r="CL164" s="337"/>
      <c r="CM164" s="337"/>
      <c r="CN164" s="337"/>
      <c r="CO164" s="337"/>
      <c r="CP164" s="337"/>
      <c r="CQ164" s="337"/>
      <c r="CR164" s="337"/>
      <c r="CS164" s="337"/>
      <c r="CT164" s="337"/>
      <c r="CU164" s="337"/>
      <c r="CV164" s="337"/>
      <c r="CW164" s="337"/>
      <c r="CX164" s="337"/>
      <c r="CY164" s="337"/>
      <c r="CZ164" s="337"/>
      <c r="DA164" s="337"/>
      <c r="DB164" s="337"/>
      <c r="DC164" s="337"/>
      <c r="DD164" s="337"/>
      <c r="DE164" s="337"/>
      <c r="DF164" s="337"/>
      <c r="DG164" s="337"/>
      <c r="DH164" s="337"/>
      <c r="DI164" s="337"/>
      <c r="DJ164" s="337"/>
      <c r="DK164" s="337"/>
      <c r="DL164" s="337"/>
      <c r="DM164" s="337"/>
      <c r="DN164" s="337"/>
      <c r="DO164" s="337"/>
      <c r="DP164" s="337"/>
      <c r="DQ164" s="337"/>
      <c r="DR164" s="337"/>
      <c r="DS164" s="337"/>
      <c r="DT164" s="337"/>
      <c r="DU164" s="337"/>
      <c r="DV164" s="337"/>
      <c r="DW164" s="337"/>
      <c r="DX164" s="337"/>
      <c r="DY164" s="337"/>
      <c r="DZ164" s="337"/>
      <c r="EA164" s="337"/>
      <c r="EB164" s="337"/>
      <c r="EC164" s="337"/>
      <c r="ED164" s="337"/>
      <c r="EE164" s="337"/>
      <c r="EF164" s="337"/>
      <c r="EG164" s="337"/>
      <c r="EH164" s="337"/>
      <c r="EI164" s="337"/>
      <c r="EJ164" s="337"/>
      <c r="EK164" s="337"/>
      <c r="EL164" s="337"/>
      <c r="EM164" s="337"/>
      <c r="EN164" s="337"/>
      <c r="EO164" s="337"/>
      <c r="EP164" s="337"/>
      <c r="EQ164" s="337"/>
      <c r="ER164" s="337"/>
      <c r="ES164" s="337"/>
      <c r="ET164" s="337"/>
      <c r="EU164" s="337"/>
      <c r="EV164" s="337"/>
      <c r="EW164" s="337"/>
      <c r="EX164" s="337"/>
      <c r="EY164" s="337"/>
      <c r="EZ164" s="337"/>
      <c r="FA164" s="337"/>
      <c r="FB164" s="337"/>
      <c r="FC164" s="337"/>
      <c r="FD164" s="337"/>
      <c r="FE164" s="337"/>
      <c r="FF164" s="337"/>
      <c r="FG164" s="337"/>
      <c r="FH164" s="337"/>
      <c r="FI164" s="337"/>
      <c r="FJ164" s="337"/>
      <c r="FK164" s="337"/>
      <c r="FL164" s="337"/>
      <c r="FM164" s="337"/>
      <c r="FN164" s="337"/>
      <c r="FO164" s="337"/>
      <c r="FP164" s="337"/>
      <c r="FQ164" s="337"/>
      <c r="FR164" s="337"/>
      <c r="FS164" s="337"/>
      <c r="FT164" s="337"/>
      <c r="FU164" s="337"/>
      <c r="FV164" s="337"/>
      <c r="FW164" s="337"/>
      <c r="FX164" s="337"/>
      <c r="FY164" s="337"/>
      <c r="FZ164" s="337"/>
      <c r="GA164" s="337"/>
      <c r="GB164" s="337"/>
      <c r="GC164" s="337"/>
      <c r="GD164" s="337"/>
      <c r="GE164" s="337"/>
      <c r="GF164" s="337"/>
      <c r="GG164" s="337"/>
      <c r="GH164" s="337"/>
      <c r="GI164" s="337"/>
      <c r="GJ164" s="337"/>
      <c r="GK164" s="337"/>
    </row>
    <row r="165" spans="1:193" s="118" customFormat="1" ht="9.9499999999999993" customHeight="1" x14ac:dyDescent="0.15">
      <c r="A165" s="152" t="s">
        <v>427</v>
      </c>
      <c r="B165" s="125">
        <v>0.45</v>
      </c>
      <c r="C165" s="140">
        <f t="shared" si="74"/>
        <v>762.9914179273328</v>
      </c>
      <c r="D165" s="195">
        <f t="shared" si="68"/>
        <v>762991.4179273328</v>
      </c>
      <c r="E165" s="273">
        <v>633141.15</v>
      </c>
      <c r="F165" s="301">
        <f t="shared" ref="F165:F169" si="85">K165/2</f>
        <v>778.69399999999996</v>
      </c>
      <c r="G165" s="258">
        <f t="shared" si="79"/>
        <v>389347</v>
      </c>
      <c r="H165" s="246">
        <f t="shared" si="80"/>
        <v>257388</v>
      </c>
      <c r="I165" s="198">
        <v>1300000</v>
      </c>
      <c r="J165" s="305">
        <f t="shared" si="66"/>
        <v>1557.3879999999999</v>
      </c>
      <c r="K165" s="41">
        <f t="shared" si="47"/>
        <v>1557.3879999999999</v>
      </c>
      <c r="L165" s="198">
        <v>1557388</v>
      </c>
      <c r="M165" s="195">
        <f t="shared" si="82"/>
        <v>-152.23919000000001</v>
      </c>
      <c r="N165" s="36"/>
      <c r="O165" s="405">
        <f>R165/2</f>
        <v>-100</v>
      </c>
      <c r="P165" s="406">
        <f t="shared" ref="P165:P177" si="86">S165/4*3</f>
        <v>150000</v>
      </c>
      <c r="Q165" s="309">
        <f t="shared" si="65"/>
        <v>-200</v>
      </c>
      <c r="R165" s="41">
        <f t="shared" si="70"/>
        <v>-200</v>
      </c>
      <c r="S165" s="198">
        <v>200000</v>
      </c>
      <c r="T165" s="265">
        <v>152239.19</v>
      </c>
      <c r="U165" s="210">
        <f t="shared" si="43"/>
        <v>129850.26792733282</v>
      </c>
      <c r="V165" s="33">
        <f t="shared" si="71"/>
        <v>610.7522279273328</v>
      </c>
      <c r="W165" s="33">
        <f t="shared" si="72"/>
        <v>678.69399999999996</v>
      </c>
      <c r="X165" s="306">
        <f t="shared" si="84"/>
        <v>1357.3879999999999</v>
      </c>
      <c r="Y165" s="41">
        <f t="shared" si="84"/>
        <v>1357.3879999999999</v>
      </c>
      <c r="Z165" s="250">
        <f t="shared" si="55"/>
        <v>127.01227207266717</v>
      </c>
      <c r="AA165" s="174">
        <f t="shared" si="56"/>
        <v>0</v>
      </c>
      <c r="AB165" s="252"/>
      <c r="AC165" s="337"/>
      <c r="AD165" s="252"/>
      <c r="AE165" s="337"/>
      <c r="AF165" s="337"/>
      <c r="AG165" s="337"/>
      <c r="AH165" s="337"/>
      <c r="AI165" s="337"/>
      <c r="AJ165" s="337"/>
      <c r="AK165" s="337"/>
      <c r="AL165" s="337"/>
      <c r="AM165" s="337"/>
      <c r="AN165" s="337"/>
      <c r="AO165" s="337"/>
      <c r="AP165" s="337"/>
      <c r="AQ165" s="337"/>
      <c r="AR165" s="337"/>
      <c r="AS165" s="337"/>
      <c r="AT165" s="337"/>
      <c r="AU165" s="337"/>
      <c r="AV165" s="337"/>
      <c r="AW165" s="337"/>
      <c r="AX165" s="337"/>
      <c r="AY165" s="337"/>
      <c r="AZ165" s="337"/>
      <c r="BA165" s="337"/>
      <c r="BB165" s="337"/>
      <c r="BC165" s="337"/>
      <c r="BD165" s="337"/>
      <c r="BE165" s="337"/>
      <c r="BF165" s="337"/>
      <c r="BG165" s="337"/>
      <c r="BH165" s="337"/>
      <c r="BI165" s="337"/>
      <c r="BJ165" s="337"/>
      <c r="BK165" s="337"/>
      <c r="BL165" s="337"/>
      <c r="BM165" s="337"/>
      <c r="BN165" s="337"/>
      <c r="BO165" s="337"/>
      <c r="BP165" s="337"/>
      <c r="BQ165" s="337"/>
      <c r="BR165" s="337"/>
      <c r="BS165" s="337"/>
      <c r="BT165" s="337"/>
      <c r="BU165" s="337"/>
      <c r="BV165" s="337"/>
      <c r="BW165" s="337"/>
      <c r="BX165" s="337"/>
      <c r="BY165" s="337"/>
      <c r="BZ165" s="337"/>
      <c r="CA165" s="337"/>
      <c r="CB165" s="337"/>
      <c r="CC165" s="337"/>
      <c r="CD165" s="337"/>
      <c r="CE165" s="337"/>
      <c r="CF165" s="337"/>
      <c r="CG165" s="337"/>
      <c r="CH165" s="337"/>
      <c r="CI165" s="337"/>
      <c r="CJ165" s="337"/>
      <c r="CK165" s="337"/>
      <c r="CL165" s="337"/>
      <c r="CM165" s="337"/>
      <c r="CN165" s="337"/>
      <c r="CO165" s="337"/>
      <c r="CP165" s="337"/>
      <c r="CQ165" s="337"/>
      <c r="CR165" s="337"/>
      <c r="CS165" s="337"/>
      <c r="CT165" s="337"/>
      <c r="CU165" s="337"/>
      <c r="CV165" s="337"/>
      <c r="CW165" s="337"/>
      <c r="CX165" s="337"/>
      <c r="CY165" s="337"/>
      <c r="CZ165" s="337"/>
      <c r="DA165" s="337"/>
      <c r="DB165" s="337"/>
      <c r="DC165" s="337"/>
      <c r="DD165" s="337"/>
      <c r="DE165" s="337"/>
      <c r="DF165" s="337"/>
      <c r="DG165" s="337"/>
      <c r="DH165" s="337"/>
      <c r="DI165" s="337"/>
      <c r="DJ165" s="337"/>
      <c r="DK165" s="337"/>
      <c r="DL165" s="337"/>
      <c r="DM165" s="337"/>
      <c r="DN165" s="337"/>
      <c r="DO165" s="337"/>
      <c r="DP165" s="337"/>
      <c r="DQ165" s="337"/>
      <c r="DR165" s="337"/>
      <c r="DS165" s="337"/>
      <c r="DT165" s="337"/>
      <c r="DU165" s="337"/>
      <c r="DV165" s="337"/>
      <c r="DW165" s="337"/>
      <c r="DX165" s="337"/>
      <c r="DY165" s="337"/>
      <c r="DZ165" s="337"/>
      <c r="EA165" s="337"/>
      <c r="EB165" s="337"/>
      <c r="EC165" s="337"/>
      <c r="ED165" s="337"/>
      <c r="EE165" s="337"/>
      <c r="EF165" s="337"/>
      <c r="EG165" s="337"/>
      <c r="EH165" s="337"/>
      <c r="EI165" s="337"/>
      <c r="EJ165" s="337"/>
      <c r="EK165" s="337"/>
      <c r="EL165" s="337"/>
      <c r="EM165" s="337"/>
      <c r="EN165" s="337"/>
      <c r="EO165" s="337"/>
      <c r="EP165" s="337"/>
      <c r="EQ165" s="337"/>
      <c r="ER165" s="337"/>
      <c r="ES165" s="337"/>
      <c r="ET165" s="337"/>
      <c r="EU165" s="337"/>
      <c r="EV165" s="337"/>
      <c r="EW165" s="337"/>
      <c r="EX165" s="337"/>
      <c r="EY165" s="337"/>
      <c r="EZ165" s="337"/>
      <c r="FA165" s="337"/>
      <c r="FB165" s="337"/>
      <c r="FC165" s="337"/>
      <c r="FD165" s="337"/>
      <c r="FE165" s="337"/>
      <c r="FF165" s="337"/>
      <c r="FG165" s="337"/>
      <c r="FH165" s="337"/>
      <c r="FI165" s="337"/>
      <c r="FJ165" s="337"/>
      <c r="FK165" s="337"/>
      <c r="FL165" s="337"/>
      <c r="FM165" s="337"/>
      <c r="FN165" s="337"/>
      <c r="FO165" s="337"/>
      <c r="FP165" s="337"/>
      <c r="FQ165" s="337"/>
      <c r="FR165" s="337"/>
      <c r="FS165" s="337"/>
      <c r="FT165" s="337"/>
      <c r="FU165" s="337"/>
      <c r="FV165" s="337"/>
      <c r="FW165" s="337"/>
      <c r="FX165" s="337"/>
      <c r="FY165" s="337"/>
      <c r="FZ165" s="337"/>
      <c r="GA165" s="337"/>
      <c r="GB165" s="337"/>
      <c r="GC165" s="337"/>
      <c r="GD165" s="337"/>
      <c r="GE165" s="337"/>
      <c r="GF165" s="337"/>
      <c r="GG165" s="337"/>
      <c r="GH165" s="337"/>
      <c r="GI165" s="337"/>
      <c r="GJ165" s="337"/>
      <c r="GK165" s="337"/>
    </row>
    <row r="166" spans="1:193" s="118" customFormat="1" ht="9.9499999999999993" customHeight="1" x14ac:dyDescent="0.15">
      <c r="A166" s="152" t="s">
        <v>428</v>
      </c>
      <c r="B166" s="125">
        <v>0.45</v>
      </c>
      <c r="C166" s="140">
        <f t="shared" si="74"/>
        <v>130.37672792733284</v>
      </c>
      <c r="D166" s="195">
        <f>E166+U166</f>
        <v>130376.72792733283</v>
      </c>
      <c r="E166" s="273">
        <v>526.46</v>
      </c>
      <c r="F166" s="301">
        <f t="shared" si="85"/>
        <v>128.69450000000001</v>
      </c>
      <c r="G166" s="258">
        <f t="shared" si="79"/>
        <v>64347.25</v>
      </c>
      <c r="H166" s="246">
        <f t="shared" si="80"/>
        <v>257389</v>
      </c>
      <c r="I166" s="198"/>
      <c r="J166" s="305">
        <f t="shared" si="66"/>
        <v>257.38900000000001</v>
      </c>
      <c r="K166" s="41">
        <f t="shared" si="47"/>
        <v>257.38900000000001</v>
      </c>
      <c r="L166" s="198">
        <v>257389</v>
      </c>
      <c r="M166" s="195">
        <f t="shared" si="82"/>
        <v>0</v>
      </c>
      <c r="N166" s="36"/>
      <c r="O166" s="405">
        <f t="shared" si="64"/>
        <v>0</v>
      </c>
      <c r="P166" s="406">
        <f t="shared" si="86"/>
        <v>0</v>
      </c>
      <c r="Q166" s="309">
        <f t="shared" si="65"/>
        <v>0</v>
      </c>
      <c r="R166" s="41">
        <f t="shared" si="70"/>
        <v>0</v>
      </c>
      <c r="S166" s="198"/>
      <c r="T166" s="265"/>
      <c r="U166" s="210">
        <f t="shared" si="43"/>
        <v>129850.26792733282</v>
      </c>
      <c r="V166" s="33">
        <f t="shared" si="71"/>
        <v>130.37672792733284</v>
      </c>
      <c r="W166" s="33">
        <f t="shared" si="72"/>
        <v>128.69450000000001</v>
      </c>
      <c r="X166" s="306">
        <f t="shared" si="84"/>
        <v>257.38900000000001</v>
      </c>
      <c r="Y166" s="41">
        <f t="shared" si="84"/>
        <v>257.38900000000001</v>
      </c>
      <c r="Z166" s="250">
        <f t="shared" si="55"/>
        <v>1409.0898330057801</v>
      </c>
      <c r="AA166" s="174">
        <f t="shared" si="56"/>
        <v>0</v>
      </c>
      <c r="AB166" s="252"/>
      <c r="AC166" s="337"/>
      <c r="AD166" s="252"/>
      <c r="AE166" s="337"/>
      <c r="AF166" s="337"/>
      <c r="AG166" s="337"/>
      <c r="AH166" s="337"/>
      <c r="AI166" s="337"/>
      <c r="AJ166" s="337"/>
      <c r="AK166" s="337"/>
      <c r="AL166" s="337"/>
      <c r="AM166" s="337"/>
      <c r="AN166" s="337"/>
      <c r="AO166" s="337"/>
      <c r="AP166" s="337"/>
      <c r="AQ166" s="337"/>
      <c r="AR166" s="337"/>
      <c r="AS166" s="337"/>
      <c r="AT166" s="337"/>
      <c r="AU166" s="337"/>
      <c r="AV166" s="337"/>
      <c r="AW166" s="337"/>
      <c r="AX166" s="337"/>
      <c r="AY166" s="337"/>
      <c r="AZ166" s="337"/>
      <c r="BA166" s="337"/>
      <c r="BB166" s="337"/>
      <c r="BC166" s="337"/>
      <c r="BD166" s="337"/>
      <c r="BE166" s="337"/>
      <c r="BF166" s="337"/>
      <c r="BG166" s="337"/>
      <c r="BH166" s="337"/>
      <c r="BI166" s="337"/>
      <c r="BJ166" s="337"/>
      <c r="BK166" s="337"/>
      <c r="BL166" s="337"/>
      <c r="BM166" s="337"/>
      <c r="BN166" s="337"/>
      <c r="BO166" s="337"/>
      <c r="BP166" s="337"/>
      <c r="BQ166" s="337"/>
      <c r="BR166" s="337"/>
      <c r="BS166" s="337"/>
      <c r="BT166" s="337"/>
      <c r="BU166" s="337"/>
      <c r="BV166" s="337"/>
      <c r="BW166" s="337"/>
      <c r="BX166" s="337"/>
      <c r="BY166" s="337"/>
      <c r="BZ166" s="337"/>
      <c r="CA166" s="337"/>
      <c r="CB166" s="337"/>
      <c r="CC166" s="337"/>
      <c r="CD166" s="337"/>
      <c r="CE166" s="337"/>
      <c r="CF166" s="337"/>
      <c r="CG166" s="337"/>
      <c r="CH166" s="337"/>
      <c r="CI166" s="337"/>
      <c r="CJ166" s="337"/>
      <c r="CK166" s="337"/>
      <c r="CL166" s="337"/>
      <c r="CM166" s="337"/>
      <c r="CN166" s="337"/>
      <c r="CO166" s="337"/>
      <c r="CP166" s="337"/>
      <c r="CQ166" s="337"/>
      <c r="CR166" s="337"/>
      <c r="CS166" s="337"/>
      <c r="CT166" s="337"/>
      <c r="CU166" s="337"/>
      <c r="CV166" s="337"/>
      <c r="CW166" s="337"/>
      <c r="CX166" s="337"/>
      <c r="CY166" s="337"/>
      <c r="CZ166" s="337"/>
      <c r="DA166" s="337"/>
      <c r="DB166" s="337"/>
      <c r="DC166" s="337"/>
      <c r="DD166" s="337"/>
      <c r="DE166" s="337"/>
      <c r="DF166" s="337"/>
      <c r="DG166" s="337"/>
      <c r="DH166" s="337"/>
      <c r="DI166" s="337"/>
      <c r="DJ166" s="337"/>
      <c r="DK166" s="337"/>
      <c r="DL166" s="337"/>
      <c r="DM166" s="337"/>
      <c r="DN166" s="337"/>
      <c r="DO166" s="337"/>
      <c r="DP166" s="337"/>
      <c r="DQ166" s="337"/>
      <c r="DR166" s="337"/>
      <c r="DS166" s="337"/>
      <c r="DT166" s="337"/>
      <c r="DU166" s="337"/>
      <c r="DV166" s="337"/>
      <c r="DW166" s="337"/>
      <c r="DX166" s="337"/>
      <c r="DY166" s="337"/>
      <c r="DZ166" s="337"/>
      <c r="EA166" s="337"/>
      <c r="EB166" s="337"/>
      <c r="EC166" s="337"/>
      <c r="ED166" s="337"/>
      <c r="EE166" s="337"/>
      <c r="EF166" s="337"/>
      <c r="EG166" s="337"/>
      <c r="EH166" s="337"/>
      <c r="EI166" s="337"/>
      <c r="EJ166" s="337"/>
      <c r="EK166" s="337"/>
      <c r="EL166" s="337"/>
      <c r="EM166" s="337"/>
      <c r="EN166" s="337"/>
      <c r="EO166" s="337"/>
      <c r="EP166" s="337"/>
      <c r="EQ166" s="337"/>
      <c r="ER166" s="337"/>
      <c r="ES166" s="337"/>
      <c r="ET166" s="337"/>
      <c r="EU166" s="337"/>
      <c r="EV166" s="337"/>
      <c r="EW166" s="337"/>
      <c r="EX166" s="337"/>
      <c r="EY166" s="337"/>
      <c r="EZ166" s="337"/>
      <c r="FA166" s="337"/>
      <c r="FB166" s="337"/>
      <c r="FC166" s="337"/>
      <c r="FD166" s="337"/>
      <c r="FE166" s="337"/>
      <c r="FF166" s="337"/>
      <c r="FG166" s="337"/>
      <c r="FH166" s="337"/>
      <c r="FI166" s="337"/>
      <c r="FJ166" s="337"/>
      <c r="FK166" s="337"/>
      <c r="FL166" s="337"/>
      <c r="FM166" s="337"/>
      <c r="FN166" s="337"/>
      <c r="FO166" s="337"/>
      <c r="FP166" s="337"/>
      <c r="FQ166" s="337"/>
      <c r="FR166" s="337"/>
      <c r="FS166" s="337"/>
      <c r="FT166" s="337"/>
      <c r="FU166" s="337"/>
      <c r="FV166" s="337"/>
      <c r="FW166" s="337"/>
      <c r="FX166" s="337"/>
      <c r="FY166" s="337"/>
      <c r="FZ166" s="337"/>
      <c r="GA166" s="337"/>
      <c r="GB166" s="337"/>
      <c r="GC166" s="337"/>
      <c r="GD166" s="337"/>
      <c r="GE166" s="337"/>
      <c r="GF166" s="337"/>
      <c r="GG166" s="337"/>
      <c r="GH166" s="337"/>
      <c r="GI166" s="337"/>
      <c r="GJ166" s="337"/>
      <c r="GK166" s="337"/>
    </row>
    <row r="167" spans="1:193" s="118" customFormat="1" ht="9.9499999999999993" customHeight="1" x14ac:dyDescent="0.15">
      <c r="A167" s="152" t="s">
        <v>429</v>
      </c>
      <c r="B167" s="125">
        <v>2.1</v>
      </c>
      <c r="C167" s="140">
        <f t="shared" si="74"/>
        <v>1290.9101669942199</v>
      </c>
      <c r="D167" s="195">
        <f t="shared" si="68"/>
        <v>1290910.1669942199</v>
      </c>
      <c r="E167" s="273">
        <f>678706.2+6236.05</f>
        <v>684942.25</v>
      </c>
      <c r="F167" s="301">
        <f t="shared" si="85"/>
        <v>1523.0740000000001</v>
      </c>
      <c r="G167" s="258">
        <f t="shared" si="79"/>
        <v>761537</v>
      </c>
      <c r="H167" s="246">
        <f t="shared" si="80"/>
        <v>1201148</v>
      </c>
      <c r="I167" s="198">
        <f>(75+500+500+250+150+250+120)*1000</f>
        <v>1845000</v>
      </c>
      <c r="J167" s="305">
        <v>2700</v>
      </c>
      <c r="K167" s="41">
        <f t="shared" si="47"/>
        <v>3046.1480000000001</v>
      </c>
      <c r="L167" s="198">
        <v>3046148</v>
      </c>
      <c r="M167" s="195">
        <f t="shared" si="82"/>
        <v>-13.202999999999999</v>
      </c>
      <c r="N167" s="36"/>
      <c r="O167" s="405">
        <f t="shared" si="64"/>
        <v>0</v>
      </c>
      <c r="P167" s="406">
        <f t="shared" si="86"/>
        <v>0</v>
      </c>
      <c r="Q167" s="309">
        <f>M167</f>
        <v>-13.202999999999999</v>
      </c>
      <c r="R167" s="41">
        <f t="shared" si="70"/>
        <v>0</v>
      </c>
      <c r="S167" s="198"/>
      <c r="T167" s="265">
        <v>13203</v>
      </c>
      <c r="U167" s="210">
        <f t="shared" si="43"/>
        <v>605967.91699421988</v>
      </c>
      <c r="V167" s="33">
        <f t="shared" si="71"/>
        <v>1277.70716699422</v>
      </c>
      <c r="W167" s="33">
        <f t="shared" si="72"/>
        <v>1523.0740000000001</v>
      </c>
      <c r="X167" s="306">
        <f t="shared" si="84"/>
        <v>2686.797</v>
      </c>
      <c r="Y167" s="41">
        <f t="shared" si="84"/>
        <v>3046.1480000000001</v>
      </c>
      <c r="Z167" s="250">
        <f t="shared" si="55"/>
        <v>2102.7756616895126</v>
      </c>
      <c r="AA167" s="174">
        <f t="shared" si="56"/>
        <v>51.786000000000001</v>
      </c>
      <c r="AB167" s="252"/>
      <c r="AC167" s="337"/>
      <c r="AD167" s="252"/>
      <c r="AE167" s="337"/>
      <c r="AF167" s="337"/>
      <c r="AG167" s="337"/>
      <c r="AH167" s="337"/>
      <c r="AI167" s="337"/>
      <c r="AJ167" s="337"/>
      <c r="AK167" s="337"/>
      <c r="AL167" s="337"/>
      <c r="AM167" s="337"/>
      <c r="AN167" s="337"/>
      <c r="AO167" s="337"/>
      <c r="AP167" s="337"/>
      <c r="AQ167" s="337"/>
      <c r="AR167" s="337"/>
      <c r="AS167" s="337"/>
      <c r="AT167" s="337"/>
      <c r="AU167" s="337"/>
      <c r="AV167" s="337"/>
      <c r="AW167" s="337"/>
      <c r="AX167" s="337"/>
      <c r="AY167" s="337"/>
      <c r="AZ167" s="337"/>
      <c r="BA167" s="337"/>
      <c r="BB167" s="337"/>
      <c r="BC167" s="337"/>
      <c r="BD167" s="337"/>
      <c r="BE167" s="337"/>
      <c r="BF167" s="337"/>
      <c r="BG167" s="337"/>
      <c r="BH167" s="337"/>
      <c r="BI167" s="337"/>
      <c r="BJ167" s="337"/>
      <c r="BK167" s="337"/>
      <c r="BL167" s="337"/>
      <c r="BM167" s="337"/>
      <c r="BN167" s="337"/>
      <c r="BO167" s="337"/>
      <c r="BP167" s="337"/>
      <c r="BQ167" s="337"/>
      <c r="BR167" s="337"/>
      <c r="BS167" s="337"/>
      <c r="BT167" s="337"/>
      <c r="BU167" s="337"/>
      <c r="BV167" s="337"/>
      <c r="BW167" s="337"/>
      <c r="BX167" s="337"/>
      <c r="BY167" s="337"/>
      <c r="BZ167" s="337"/>
      <c r="CA167" s="337"/>
      <c r="CB167" s="337"/>
      <c r="CC167" s="337"/>
      <c r="CD167" s="337"/>
      <c r="CE167" s="337"/>
      <c r="CF167" s="337"/>
      <c r="CG167" s="337"/>
      <c r="CH167" s="337"/>
      <c r="CI167" s="337"/>
      <c r="CJ167" s="337"/>
      <c r="CK167" s="337"/>
      <c r="CL167" s="337"/>
      <c r="CM167" s="337"/>
      <c r="CN167" s="337"/>
      <c r="CO167" s="337"/>
      <c r="CP167" s="337"/>
      <c r="CQ167" s="337"/>
      <c r="CR167" s="337"/>
      <c r="CS167" s="337"/>
      <c r="CT167" s="337"/>
      <c r="CU167" s="337"/>
      <c r="CV167" s="337"/>
      <c r="CW167" s="337"/>
      <c r="CX167" s="337"/>
      <c r="CY167" s="337"/>
      <c r="CZ167" s="337"/>
      <c r="DA167" s="337"/>
      <c r="DB167" s="337"/>
      <c r="DC167" s="337"/>
      <c r="DD167" s="337"/>
      <c r="DE167" s="337"/>
      <c r="DF167" s="337"/>
      <c r="DG167" s="337"/>
      <c r="DH167" s="337"/>
      <c r="DI167" s="337"/>
      <c r="DJ167" s="337"/>
      <c r="DK167" s="337"/>
      <c r="DL167" s="337"/>
      <c r="DM167" s="337"/>
      <c r="DN167" s="337"/>
      <c r="DO167" s="337"/>
      <c r="DP167" s="337"/>
      <c r="DQ167" s="337"/>
      <c r="DR167" s="337"/>
      <c r="DS167" s="337"/>
      <c r="DT167" s="337"/>
      <c r="DU167" s="337"/>
      <c r="DV167" s="337"/>
      <c r="DW167" s="337"/>
      <c r="DX167" s="337"/>
      <c r="DY167" s="337"/>
      <c r="DZ167" s="337"/>
      <c r="EA167" s="337"/>
      <c r="EB167" s="337"/>
      <c r="EC167" s="337"/>
      <c r="ED167" s="337"/>
      <c r="EE167" s="337"/>
      <c r="EF167" s="337"/>
      <c r="EG167" s="337"/>
      <c r="EH167" s="337"/>
      <c r="EI167" s="337"/>
      <c r="EJ167" s="337"/>
      <c r="EK167" s="337"/>
      <c r="EL167" s="337"/>
      <c r="EM167" s="337"/>
      <c r="EN167" s="337"/>
      <c r="EO167" s="337"/>
      <c r="EP167" s="337"/>
      <c r="EQ167" s="337"/>
      <c r="ER167" s="337"/>
      <c r="ES167" s="337"/>
      <c r="ET167" s="337"/>
      <c r="EU167" s="337"/>
      <c r="EV167" s="337"/>
      <c r="EW167" s="337"/>
      <c r="EX167" s="337"/>
      <c r="EY167" s="337"/>
      <c r="EZ167" s="337"/>
      <c r="FA167" s="337"/>
      <c r="FB167" s="337"/>
      <c r="FC167" s="337"/>
      <c r="FD167" s="337"/>
      <c r="FE167" s="337"/>
      <c r="FF167" s="337"/>
      <c r="FG167" s="337"/>
      <c r="FH167" s="337"/>
      <c r="FI167" s="337"/>
      <c r="FJ167" s="337"/>
      <c r="FK167" s="337"/>
      <c r="FL167" s="337"/>
      <c r="FM167" s="337"/>
      <c r="FN167" s="337"/>
      <c r="FO167" s="337"/>
      <c r="FP167" s="337"/>
      <c r="FQ167" s="337"/>
      <c r="FR167" s="337"/>
      <c r="FS167" s="337"/>
      <c r="FT167" s="337"/>
      <c r="FU167" s="337"/>
      <c r="FV167" s="337"/>
      <c r="FW167" s="337"/>
      <c r="FX167" s="337"/>
      <c r="FY167" s="337"/>
      <c r="FZ167" s="337"/>
      <c r="GA167" s="337"/>
      <c r="GB167" s="337"/>
      <c r="GC167" s="337"/>
      <c r="GD167" s="337"/>
      <c r="GE167" s="337"/>
      <c r="GF167" s="337"/>
      <c r="GG167" s="337"/>
      <c r="GH167" s="337"/>
      <c r="GI167" s="337"/>
      <c r="GJ167" s="337"/>
      <c r="GK167" s="337"/>
    </row>
    <row r="168" spans="1:193" s="118" customFormat="1" ht="9.9499999999999993" customHeight="1" x14ac:dyDescent="0.15">
      <c r="A168" s="152" t="s">
        <v>430</v>
      </c>
      <c r="B168" s="125">
        <v>1.38</v>
      </c>
      <c r="C168" s="140">
        <f t="shared" si="74"/>
        <v>1847.2243383104874</v>
      </c>
      <c r="D168" s="195">
        <f t="shared" si="68"/>
        <v>1847224.3383104873</v>
      </c>
      <c r="E168" s="273">
        <f>1426696.02+22320.83</f>
        <v>1449016.85</v>
      </c>
      <c r="F168" s="301">
        <f t="shared" si="85"/>
        <v>2032.163</v>
      </c>
      <c r="G168" s="258">
        <f t="shared" si="79"/>
        <v>1016081.5</v>
      </c>
      <c r="H168" s="246">
        <f t="shared" si="80"/>
        <v>789326</v>
      </c>
      <c r="I168" s="198">
        <f>775000+2500000</f>
        <v>3275000</v>
      </c>
      <c r="J168" s="305">
        <v>3950</v>
      </c>
      <c r="K168" s="41">
        <f t="shared" si="47"/>
        <v>4064.326</v>
      </c>
      <c r="L168" s="198">
        <v>4064326</v>
      </c>
      <c r="M168" s="195">
        <f t="shared" si="82"/>
        <v>-35.213999999999999</v>
      </c>
      <c r="N168" s="36"/>
      <c r="O168" s="405">
        <f>R168/2</f>
        <v>-50</v>
      </c>
      <c r="P168" s="406">
        <f t="shared" si="86"/>
        <v>75000</v>
      </c>
      <c r="Q168" s="309">
        <v>-87</v>
      </c>
      <c r="R168" s="41">
        <f t="shared" si="70"/>
        <v>-100</v>
      </c>
      <c r="S168" s="198">
        <v>100000</v>
      </c>
      <c r="T168" s="265">
        <v>35214</v>
      </c>
      <c r="U168" s="210">
        <f t="shared" si="43"/>
        <v>398207.4883104873</v>
      </c>
      <c r="V168" s="33">
        <f t="shared" si="71"/>
        <v>1812.0103383104874</v>
      </c>
      <c r="W168" s="33">
        <f t="shared" si="72"/>
        <v>1982.163</v>
      </c>
      <c r="X168" s="306">
        <f t="shared" si="84"/>
        <v>3863</v>
      </c>
      <c r="Y168" s="41">
        <f t="shared" si="84"/>
        <v>3964.326</v>
      </c>
      <c r="Z168" s="250">
        <f t="shared" si="55"/>
        <v>847.6627494302229</v>
      </c>
      <c r="AA168" s="174">
        <f t="shared" si="56"/>
        <v>0</v>
      </c>
      <c r="AB168" s="252"/>
      <c r="AC168" s="337"/>
      <c r="AD168" s="252"/>
      <c r="AE168" s="337"/>
      <c r="AF168" s="337"/>
      <c r="AG168" s="337"/>
      <c r="AH168" s="337"/>
      <c r="AI168" s="337"/>
      <c r="AJ168" s="337"/>
      <c r="AK168" s="337"/>
      <c r="AL168" s="337"/>
      <c r="AM168" s="337"/>
      <c r="AN168" s="337"/>
      <c r="AO168" s="337"/>
      <c r="AP168" s="337"/>
      <c r="AQ168" s="337"/>
      <c r="AR168" s="337"/>
      <c r="AS168" s="337"/>
      <c r="AT168" s="337"/>
      <c r="AU168" s="337"/>
      <c r="AV168" s="337"/>
      <c r="AW168" s="337"/>
      <c r="AX168" s="337"/>
      <c r="AY168" s="337"/>
      <c r="AZ168" s="337"/>
      <c r="BA168" s="337"/>
      <c r="BB168" s="337"/>
      <c r="BC168" s="337"/>
      <c r="BD168" s="337"/>
      <c r="BE168" s="337"/>
      <c r="BF168" s="337"/>
      <c r="BG168" s="337"/>
      <c r="BH168" s="337"/>
      <c r="BI168" s="337"/>
      <c r="BJ168" s="337"/>
      <c r="BK168" s="337"/>
      <c r="BL168" s="337"/>
      <c r="BM168" s="337"/>
      <c r="BN168" s="337"/>
      <c r="BO168" s="337"/>
      <c r="BP168" s="337"/>
      <c r="BQ168" s="337"/>
      <c r="BR168" s="337"/>
      <c r="BS168" s="337"/>
      <c r="BT168" s="337"/>
      <c r="BU168" s="337"/>
      <c r="BV168" s="337"/>
      <c r="BW168" s="337"/>
      <c r="BX168" s="337"/>
      <c r="BY168" s="337"/>
      <c r="BZ168" s="337"/>
      <c r="CA168" s="337"/>
      <c r="CB168" s="337"/>
      <c r="CC168" s="337"/>
      <c r="CD168" s="337"/>
      <c r="CE168" s="337"/>
      <c r="CF168" s="337"/>
      <c r="CG168" s="337"/>
      <c r="CH168" s="337"/>
      <c r="CI168" s="337"/>
      <c r="CJ168" s="337"/>
      <c r="CK168" s="337"/>
      <c r="CL168" s="337"/>
      <c r="CM168" s="337"/>
      <c r="CN168" s="337"/>
      <c r="CO168" s="337"/>
      <c r="CP168" s="337"/>
      <c r="CQ168" s="337"/>
      <c r="CR168" s="337"/>
      <c r="CS168" s="337"/>
      <c r="CT168" s="337"/>
      <c r="CU168" s="337"/>
      <c r="CV168" s="337"/>
      <c r="CW168" s="337"/>
      <c r="CX168" s="337"/>
      <c r="CY168" s="337"/>
      <c r="CZ168" s="337"/>
      <c r="DA168" s="337"/>
      <c r="DB168" s="337"/>
      <c r="DC168" s="337"/>
      <c r="DD168" s="337"/>
      <c r="DE168" s="337"/>
      <c r="DF168" s="337"/>
      <c r="DG168" s="337"/>
      <c r="DH168" s="337"/>
      <c r="DI168" s="337"/>
      <c r="DJ168" s="337"/>
      <c r="DK168" s="337"/>
      <c r="DL168" s="337"/>
      <c r="DM168" s="337"/>
      <c r="DN168" s="337"/>
      <c r="DO168" s="337"/>
      <c r="DP168" s="337"/>
      <c r="DQ168" s="337"/>
      <c r="DR168" s="337"/>
      <c r="DS168" s="337"/>
      <c r="DT168" s="337"/>
      <c r="DU168" s="337"/>
      <c r="DV168" s="337"/>
      <c r="DW168" s="337"/>
      <c r="DX168" s="337"/>
      <c r="DY168" s="337"/>
      <c r="DZ168" s="337"/>
      <c r="EA168" s="337"/>
      <c r="EB168" s="337"/>
      <c r="EC168" s="337"/>
      <c r="ED168" s="337"/>
      <c r="EE168" s="337"/>
      <c r="EF168" s="337"/>
      <c r="EG168" s="337"/>
      <c r="EH168" s="337"/>
      <c r="EI168" s="337"/>
      <c r="EJ168" s="337"/>
      <c r="EK168" s="337"/>
      <c r="EL168" s="337"/>
      <c r="EM168" s="337"/>
      <c r="EN168" s="337"/>
      <c r="EO168" s="337"/>
      <c r="EP168" s="337"/>
      <c r="EQ168" s="337"/>
      <c r="ER168" s="337"/>
      <c r="ES168" s="337"/>
      <c r="ET168" s="337"/>
      <c r="EU168" s="337"/>
      <c r="EV168" s="337"/>
      <c r="EW168" s="337"/>
      <c r="EX168" s="337"/>
      <c r="EY168" s="337"/>
      <c r="EZ168" s="337"/>
      <c r="FA168" s="337"/>
      <c r="FB168" s="337"/>
      <c r="FC168" s="337"/>
      <c r="FD168" s="337"/>
      <c r="FE168" s="337"/>
      <c r="FF168" s="337"/>
      <c r="FG168" s="337"/>
      <c r="FH168" s="337"/>
      <c r="FI168" s="337"/>
      <c r="FJ168" s="337"/>
      <c r="FK168" s="337"/>
      <c r="FL168" s="337"/>
      <c r="FM168" s="337"/>
      <c r="FN168" s="337"/>
      <c r="FO168" s="337"/>
      <c r="FP168" s="337"/>
      <c r="FQ168" s="337"/>
      <c r="FR168" s="337"/>
      <c r="FS168" s="337"/>
      <c r="FT168" s="337"/>
      <c r="FU168" s="337"/>
      <c r="FV168" s="337"/>
      <c r="FW168" s="337"/>
      <c r="FX168" s="337"/>
      <c r="FY168" s="337"/>
      <c r="FZ168" s="337"/>
      <c r="GA168" s="337"/>
      <c r="GB168" s="337"/>
      <c r="GC168" s="337"/>
      <c r="GD168" s="337"/>
      <c r="GE168" s="337"/>
      <c r="GF168" s="337"/>
      <c r="GG168" s="337"/>
      <c r="GH168" s="337"/>
      <c r="GI168" s="337"/>
      <c r="GJ168" s="337"/>
      <c r="GK168" s="337"/>
    </row>
    <row r="169" spans="1:193" s="118" customFormat="1" ht="9" customHeight="1" x14ac:dyDescent="0.15">
      <c r="A169" s="152" t="s">
        <v>432</v>
      </c>
      <c r="B169" s="125">
        <v>0.6</v>
      </c>
      <c r="C169" s="140">
        <f t="shared" si="74"/>
        <v>1495.522250569777</v>
      </c>
      <c r="D169" s="195">
        <f t="shared" si="68"/>
        <v>1495522.2505697771</v>
      </c>
      <c r="E169" s="273">
        <v>1322388.56</v>
      </c>
      <c r="F169" s="301">
        <f t="shared" si="85"/>
        <v>1171.5925</v>
      </c>
      <c r="G169" s="258">
        <f t="shared" si="79"/>
        <v>585796.25</v>
      </c>
      <c r="H169" s="246">
        <f>L169-I169</f>
        <v>343185</v>
      </c>
      <c r="I169" s="198">
        <v>2000000</v>
      </c>
      <c r="J169" s="305">
        <f t="shared" si="66"/>
        <v>2343.1849999999999</v>
      </c>
      <c r="K169" s="41">
        <f t="shared" si="47"/>
        <v>2343.1849999999999</v>
      </c>
      <c r="L169" s="200">
        <v>2343185</v>
      </c>
      <c r="M169" s="195">
        <f t="shared" si="82"/>
        <v>0</v>
      </c>
      <c r="N169" s="36"/>
      <c r="O169" s="405">
        <f t="shared" si="64"/>
        <v>0</v>
      </c>
      <c r="P169" s="406">
        <f t="shared" si="86"/>
        <v>0</v>
      </c>
      <c r="Q169" s="309">
        <f t="shared" si="65"/>
        <v>0</v>
      </c>
      <c r="R169" s="41">
        <f t="shared" si="70"/>
        <v>0</v>
      </c>
      <c r="S169" s="198"/>
      <c r="T169" s="265"/>
      <c r="U169" s="210">
        <f t="shared" ref="U169:U175" si="87">$U$12/$B$12*B169</f>
        <v>173133.6905697771</v>
      </c>
      <c r="V169" s="33">
        <f t="shared" si="71"/>
        <v>1495.522250569777</v>
      </c>
      <c r="W169" s="33">
        <f t="shared" si="72"/>
        <v>1171.5925</v>
      </c>
      <c r="X169" s="306">
        <f>J169+Q169</f>
        <v>2343.1849999999999</v>
      </c>
      <c r="Y169" s="41">
        <f t="shared" si="84"/>
        <v>2343.1849999999999</v>
      </c>
      <c r="Z169" s="250">
        <f t="shared" si="55"/>
        <v>0</v>
      </c>
      <c r="AA169" s="174">
        <f t="shared" si="56"/>
        <v>0</v>
      </c>
      <c r="AB169" s="252"/>
      <c r="AC169" s="337"/>
      <c r="AD169" s="252"/>
      <c r="AE169" s="390"/>
      <c r="AF169" s="337"/>
      <c r="AG169" s="337"/>
      <c r="AH169" s="337"/>
      <c r="AI169" s="337"/>
      <c r="AJ169" s="337"/>
      <c r="AK169" s="337"/>
      <c r="AL169" s="337"/>
      <c r="AM169" s="337"/>
      <c r="AN169" s="337"/>
      <c r="AO169" s="337"/>
      <c r="AP169" s="337"/>
      <c r="AQ169" s="337"/>
      <c r="AR169" s="337"/>
      <c r="AS169" s="337"/>
      <c r="AT169" s="337"/>
      <c r="AU169" s="337"/>
      <c r="AV169" s="337"/>
      <c r="AW169" s="337"/>
      <c r="AX169" s="337"/>
      <c r="AY169" s="337"/>
      <c r="AZ169" s="337"/>
      <c r="BA169" s="337"/>
      <c r="BB169" s="337"/>
      <c r="BC169" s="337"/>
      <c r="BD169" s="337"/>
      <c r="BE169" s="337"/>
      <c r="BF169" s="337"/>
      <c r="BG169" s="337"/>
      <c r="BH169" s="337"/>
      <c r="BI169" s="337"/>
      <c r="BJ169" s="337"/>
      <c r="BK169" s="337"/>
      <c r="BL169" s="337"/>
      <c r="BM169" s="337"/>
      <c r="BN169" s="337"/>
      <c r="BO169" s="337"/>
      <c r="BP169" s="337"/>
      <c r="BQ169" s="337"/>
      <c r="BR169" s="337"/>
      <c r="BS169" s="337"/>
      <c r="BT169" s="337"/>
      <c r="BU169" s="337"/>
      <c r="BV169" s="337"/>
      <c r="BW169" s="337"/>
      <c r="BX169" s="337"/>
      <c r="BY169" s="337"/>
      <c r="BZ169" s="337"/>
      <c r="CA169" s="337"/>
      <c r="CB169" s="337"/>
      <c r="CC169" s="337"/>
      <c r="CD169" s="337"/>
      <c r="CE169" s="337"/>
      <c r="CF169" s="337"/>
      <c r="CG169" s="337"/>
      <c r="CH169" s="337"/>
      <c r="CI169" s="337"/>
      <c r="CJ169" s="337"/>
      <c r="CK169" s="337"/>
      <c r="CL169" s="337"/>
      <c r="CM169" s="337"/>
      <c r="CN169" s="337"/>
      <c r="CO169" s="337"/>
      <c r="CP169" s="337"/>
      <c r="CQ169" s="337"/>
      <c r="CR169" s="337"/>
      <c r="CS169" s="337"/>
      <c r="CT169" s="337"/>
      <c r="CU169" s="337"/>
      <c r="CV169" s="337"/>
      <c r="CW169" s="337"/>
      <c r="CX169" s="337"/>
      <c r="CY169" s="337"/>
      <c r="CZ169" s="337"/>
      <c r="DA169" s="337"/>
      <c r="DB169" s="337"/>
      <c r="DC169" s="337"/>
      <c r="DD169" s="337"/>
      <c r="DE169" s="337"/>
      <c r="DF169" s="337"/>
      <c r="DG169" s="337"/>
      <c r="DH169" s="337"/>
      <c r="DI169" s="337"/>
      <c r="DJ169" s="337"/>
      <c r="DK169" s="337"/>
      <c r="DL169" s="337"/>
      <c r="DM169" s="337"/>
      <c r="DN169" s="337"/>
      <c r="DO169" s="337"/>
      <c r="DP169" s="337"/>
      <c r="DQ169" s="337"/>
      <c r="DR169" s="337"/>
      <c r="DS169" s="337"/>
      <c r="DT169" s="337"/>
      <c r="DU169" s="337"/>
      <c r="DV169" s="337"/>
      <c r="DW169" s="337"/>
      <c r="DX169" s="337"/>
      <c r="DY169" s="337"/>
      <c r="DZ169" s="337"/>
      <c r="EA169" s="337"/>
      <c r="EB169" s="337"/>
      <c r="EC169" s="337"/>
      <c r="ED169" s="337"/>
      <c r="EE169" s="337"/>
      <c r="EF169" s="337"/>
      <c r="EG169" s="337"/>
      <c r="EH169" s="337"/>
      <c r="EI169" s="337"/>
      <c r="EJ169" s="337"/>
      <c r="EK169" s="337"/>
      <c r="EL169" s="337"/>
      <c r="EM169" s="337"/>
      <c r="EN169" s="337"/>
      <c r="EO169" s="337"/>
      <c r="EP169" s="337"/>
      <c r="EQ169" s="337"/>
      <c r="ER169" s="337"/>
      <c r="ES169" s="337"/>
      <c r="ET169" s="337"/>
      <c r="EU169" s="337"/>
      <c r="EV169" s="337"/>
      <c r="EW169" s="337"/>
      <c r="EX169" s="337"/>
      <c r="EY169" s="337"/>
      <c r="EZ169" s="337"/>
      <c r="FA169" s="337"/>
      <c r="FB169" s="337"/>
      <c r="FC169" s="337"/>
      <c r="FD169" s="337"/>
      <c r="FE169" s="337"/>
      <c r="FF169" s="337"/>
      <c r="FG169" s="337"/>
      <c r="FH169" s="337"/>
      <c r="FI169" s="337"/>
      <c r="FJ169" s="337"/>
      <c r="FK169" s="337"/>
      <c r="FL169" s="337"/>
      <c r="FM169" s="337"/>
      <c r="FN169" s="337"/>
      <c r="FO169" s="337"/>
      <c r="FP169" s="337"/>
      <c r="FQ169" s="337"/>
      <c r="FR169" s="337"/>
      <c r="FS169" s="337"/>
      <c r="FT169" s="337"/>
      <c r="FU169" s="337"/>
      <c r="FV169" s="337"/>
      <c r="FW169" s="337"/>
      <c r="FX169" s="337"/>
      <c r="FY169" s="337"/>
      <c r="FZ169" s="337"/>
      <c r="GA169" s="337"/>
      <c r="GB169" s="337"/>
      <c r="GC169" s="337"/>
      <c r="GD169" s="337"/>
      <c r="GE169" s="337"/>
      <c r="GF169" s="337"/>
      <c r="GG169" s="337"/>
      <c r="GH169" s="337"/>
      <c r="GI169" s="337"/>
      <c r="GJ169" s="337"/>
      <c r="GK169" s="337"/>
    </row>
    <row r="170" spans="1:193" s="179" customFormat="1" hidden="1" x14ac:dyDescent="0.15">
      <c r="A170" s="147"/>
      <c r="B170" s="130"/>
      <c r="C170" s="140"/>
      <c r="D170" s="41">
        <f t="shared" si="68"/>
        <v>0</v>
      </c>
      <c r="E170" s="273"/>
      <c r="F170" s="304">
        <f t="shared" si="67"/>
        <v>0</v>
      </c>
      <c r="G170" s="258">
        <f t="shared" si="79"/>
        <v>0</v>
      </c>
      <c r="H170" s="246">
        <f t="shared" ref="H170" si="88">L170-I170</f>
        <v>0</v>
      </c>
      <c r="I170" s="198">
        <f t="shared" si="53"/>
        <v>0</v>
      </c>
      <c r="J170" s="305">
        <f t="shared" si="66"/>
        <v>0</v>
      </c>
      <c r="K170" s="41">
        <f t="shared" si="47"/>
        <v>0</v>
      </c>
      <c r="L170" s="198"/>
      <c r="M170" s="195">
        <f t="shared" si="82"/>
        <v>0</v>
      </c>
      <c r="N170" s="33"/>
      <c r="O170" s="405">
        <f t="shared" si="64"/>
        <v>0</v>
      </c>
      <c r="P170" s="406">
        <f t="shared" si="86"/>
        <v>0</v>
      </c>
      <c r="Q170" s="309">
        <f t="shared" si="65"/>
        <v>0</v>
      </c>
      <c r="R170" s="41"/>
      <c r="S170" s="198"/>
      <c r="T170" s="265"/>
      <c r="U170" s="210">
        <f t="shared" si="87"/>
        <v>0</v>
      </c>
      <c r="V170" s="33"/>
      <c r="W170" s="33"/>
      <c r="X170" s="248"/>
      <c r="Y170" s="41"/>
      <c r="Z170" s="250">
        <f t="shared" si="55"/>
        <v>3.0127924525185712</v>
      </c>
      <c r="AA170" s="174">
        <f t="shared" si="56"/>
        <v>3220.5362800000003</v>
      </c>
      <c r="AB170" s="252"/>
      <c r="AC170" s="317"/>
      <c r="AD170" s="252"/>
      <c r="AE170" s="317"/>
      <c r="AF170" s="317"/>
      <c r="AG170" s="317"/>
      <c r="AH170" s="317"/>
      <c r="AI170" s="317"/>
      <c r="AJ170" s="317"/>
      <c r="AK170" s="317"/>
      <c r="AL170" s="317"/>
      <c r="AM170" s="317"/>
      <c r="AN170" s="317"/>
      <c r="AO170" s="317"/>
      <c r="AP170" s="317"/>
      <c r="AQ170" s="317"/>
      <c r="AR170" s="317"/>
      <c r="AS170" s="317"/>
      <c r="AT170" s="317"/>
      <c r="AU170" s="317"/>
      <c r="AV170" s="317"/>
      <c r="AW170" s="317"/>
      <c r="AX170" s="317"/>
      <c r="AY170" s="317"/>
      <c r="AZ170" s="317"/>
      <c r="BA170" s="317"/>
      <c r="BB170" s="317"/>
      <c r="BC170" s="317"/>
      <c r="BD170" s="317"/>
      <c r="BE170" s="317"/>
      <c r="BF170" s="317"/>
      <c r="BG170" s="317"/>
      <c r="BH170" s="317"/>
      <c r="BI170" s="317"/>
      <c r="BJ170" s="317"/>
      <c r="BK170" s="317"/>
      <c r="BL170" s="317"/>
      <c r="BM170" s="317"/>
      <c r="BN170" s="317"/>
      <c r="BO170" s="317"/>
      <c r="BP170" s="317"/>
      <c r="BQ170" s="317"/>
      <c r="BR170" s="317"/>
      <c r="BS170" s="317"/>
      <c r="BT170" s="317"/>
      <c r="BU170" s="317"/>
      <c r="BV170" s="317"/>
      <c r="BW170" s="317"/>
      <c r="BX170" s="317"/>
      <c r="BY170" s="317"/>
      <c r="BZ170" s="317"/>
      <c r="CA170" s="317"/>
      <c r="CB170" s="317"/>
      <c r="CC170" s="317"/>
      <c r="CD170" s="317"/>
      <c r="CE170" s="317"/>
      <c r="CF170" s="317"/>
      <c r="CG170" s="317"/>
      <c r="CH170" s="317"/>
      <c r="CI170" s="317"/>
      <c r="CJ170" s="317"/>
      <c r="CK170" s="317"/>
      <c r="CL170" s="317"/>
      <c r="CM170" s="317"/>
      <c r="CN170" s="317"/>
      <c r="CO170" s="317"/>
      <c r="CP170" s="317"/>
      <c r="CQ170" s="317"/>
      <c r="CR170" s="317"/>
      <c r="CS170" s="317"/>
      <c r="CT170" s="317"/>
      <c r="CU170" s="317"/>
      <c r="CV170" s="317"/>
      <c r="CW170" s="317"/>
      <c r="CX170" s="317"/>
      <c r="CY170" s="317"/>
      <c r="CZ170" s="317"/>
      <c r="DA170" s="317"/>
      <c r="DB170" s="317"/>
      <c r="DC170" s="317"/>
      <c r="DD170" s="317"/>
      <c r="DE170" s="317"/>
      <c r="DF170" s="317"/>
      <c r="DG170" s="317"/>
      <c r="DH170" s="317"/>
      <c r="DI170" s="317"/>
      <c r="DJ170" s="317"/>
      <c r="DK170" s="317"/>
      <c r="DL170" s="317"/>
      <c r="DM170" s="317"/>
      <c r="DN170" s="317"/>
      <c r="DO170" s="317"/>
      <c r="DP170" s="317"/>
      <c r="DQ170" s="317"/>
      <c r="DR170" s="317"/>
      <c r="DS170" s="317"/>
      <c r="DT170" s="317"/>
      <c r="DU170" s="317"/>
      <c r="DV170" s="317"/>
      <c r="DW170" s="317"/>
      <c r="DX170" s="317"/>
      <c r="DY170" s="317"/>
      <c r="DZ170" s="317"/>
      <c r="EA170" s="317"/>
      <c r="EB170" s="317"/>
      <c r="EC170" s="317"/>
      <c r="ED170" s="317"/>
      <c r="EE170" s="317"/>
      <c r="EF170" s="317"/>
      <c r="EG170" s="317"/>
      <c r="EH170" s="317"/>
      <c r="EI170" s="317"/>
      <c r="EJ170" s="317"/>
      <c r="EK170" s="317"/>
      <c r="EL170" s="317"/>
      <c r="EM170" s="317"/>
      <c r="EN170" s="317"/>
      <c r="EO170" s="317"/>
      <c r="EP170" s="317"/>
      <c r="EQ170" s="317"/>
      <c r="ER170" s="317"/>
      <c r="ES170" s="317"/>
      <c r="ET170" s="317"/>
      <c r="EU170" s="317"/>
      <c r="EV170" s="317"/>
      <c r="EW170" s="317"/>
      <c r="EX170" s="317"/>
      <c r="EY170" s="317"/>
      <c r="EZ170" s="317"/>
      <c r="FA170" s="317"/>
      <c r="FB170" s="317"/>
      <c r="FC170" s="317"/>
      <c r="FD170" s="317"/>
      <c r="FE170" s="317"/>
      <c r="FF170" s="317"/>
      <c r="FG170" s="317"/>
      <c r="FH170" s="317"/>
      <c r="FI170" s="317"/>
      <c r="FJ170" s="317"/>
      <c r="FK170" s="317"/>
      <c r="FL170" s="317"/>
      <c r="FM170" s="317"/>
      <c r="FN170" s="317"/>
      <c r="FO170" s="317"/>
      <c r="FP170" s="317"/>
      <c r="FQ170" s="317"/>
      <c r="FR170" s="317"/>
      <c r="FS170" s="317"/>
      <c r="FT170" s="317"/>
      <c r="FU170" s="317"/>
      <c r="FV170" s="317"/>
      <c r="FW170" s="317"/>
      <c r="FX170" s="317"/>
      <c r="FY170" s="317"/>
      <c r="FZ170" s="317"/>
      <c r="GA170" s="317"/>
      <c r="GB170" s="317"/>
      <c r="GC170" s="317"/>
      <c r="GD170" s="317"/>
      <c r="GE170" s="317"/>
      <c r="GF170" s="317"/>
      <c r="GG170" s="317"/>
      <c r="GH170" s="317"/>
      <c r="GI170" s="317"/>
      <c r="GJ170" s="317"/>
      <c r="GK170" s="317"/>
    </row>
    <row r="171" spans="1:193" s="117" customFormat="1" ht="9.75" customHeight="1" x14ac:dyDescent="0.15">
      <c r="A171" s="168" t="s">
        <v>87</v>
      </c>
      <c r="B171" s="180">
        <f>B172</f>
        <v>0.05</v>
      </c>
      <c r="C171" s="170">
        <f>D171/1000</f>
        <v>25.585207547481428</v>
      </c>
      <c r="D171" s="191">
        <f>E171+U171</f>
        <v>25585.207547481426</v>
      </c>
      <c r="E171" s="191">
        <f>SUM(E172:E175)</f>
        <v>11157.4</v>
      </c>
      <c r="F171" s="280">
        <f>K171/2</f>
        <v>14.298999999999999</v>
      </c>
      <c r="G171" s="315">
        <f t="shared" si="79"/>
        <v>7149.5</v>
      </c>
      <c r="H171" s="294">
        <f>L171-I171</f>
        <v>28598</v>
      </c>
      <c r="I171" s="198">
        <f>I172</f>
        <v>0</v>
      </c>
      <c r="J171" s="280">
        <f t="shared" si="66"/>
        <v>28.597999999999999</v>
      </c>
      <c r="K171" s="191">
        <f t="shared" si="47"/>
        <v>28.597999999999999</v>
      </c>
      <c r="L171" s="191">
        <f>L172</f>
        <v>28598</v>
      </c>
      <c r="M171" s="191">
        <f t="shared" si="82"/>
        <v>-629.46371999999997</v>
      </c>
      <c r="N171" s="171">
        <f>N172</f>
        <v>0</v>
      </c>
      <c r="O171" s="404">
        <f>R171/2</f>
        <v>-1925</v>
      </c>
      <c r="P171" s="404">
        <f t="shared" si="86"/>
        <v>2887500</v>
      </c>
      <c r="Q171" s="404">
        <f t="shared" si="65"/>
        <v>-3850</v>
      </c>
      <c r="R171" s="171">
        <f>S171/1000*-1</f>
        <v>-3850</v>
      </c>
      <c r="S171" s="191">
        <f>S172</f>
        <v>3850000</v>
      </c>
      <c r="T171" s="201">
        <f>T172</f>
        <v>629463.72</v>
      </c>
      <c r="U171" s="210">
        <f>SUM(U172)</f>
        <v>14427.807547481425</v>
      </c>
      <c r="V171" s="173">
        <f>C171+M171</f>
        <v>-603.87851245251852</v>
      </c>
      <c r="W171" s="173">
        <f>F171+O171</f>
        <v>-1910.701</v>
      </c>
      <c r="X171" s="191">
        <f>X172</f>
        <v>-3821.402</v>
      </c>
      <c r="Y171" s="171">
        <f>K171+R171</f>
        <v>-3821.402</v>
      </c>
      <c r="Z171" s="250">
        <f t="shared" si="55"/>
        <v>3.0127924525185712</v>
      </c>
      <c r="AA171" s="174">
        <f t="shared" si="56"/>
        <v>3220.5362800000003</v>
      </c>
      <c r="AB171" s="252"/>
      <c r="AC171" s="336"/>
      <c r="AD171" s="252"/>
      <c r="AE171" s="336"/>
      <c r="AF171" s="336"/>
      <c r="AG171" s="336"/>
      <c r="AH171" s="336"/>
      <c r="AI171" s="336"/>
      <c r="AJ171" s="336"/>
      <c r="AK171" s="336"/>
      <c r="AL171" s="336"/>
      <c r="AM171" s="336"/>
      <c r="AN171" s="336"/>
      <c r="AO171" s="336"/>
      <c r="AP171" s="336"/>
      <c r="AQ171" s="336"/>
      <c r="AR171" s="336"/>
      <c r="AS171" s="336"/>
      <c r="AT171" s="336"/>
      <c r="AU171" s="336"/>
      <c r="AV171" s="336"/>
      <c r="AW171" s="336"/>
      <c r="AX171" s="336"/>
      <c r="AY171" s="336"/>
      <c r="AZ171" s="336"/>
      <c r="BA171" s="336"/>
      <c r="BB171" s="336"/>
      <c r="BC171" s="336"/>
      <c r="BD171" s="336"/>
      <c r="BE171" s="336"/>
      <c r="BF171" s="336"/>
      <c r="BG171" s="336"/>
      <c r="BH171" s="336"/>
      <c r="BI171" s="336"/>
      <c r="BJ171" s="336"/>
      <c r="BK171" s="336"/>
      <c r="BL171" s="336"/>
      <c r="BM171" s="336"/>
      <c r="BN171" s="336"/>
      <c r="BO171" s="336"/>
      <c r="BP171" s="336"/>
      <c r="BQ171" s="336"/>
      <c r="BR171" s="336"/>
      <c r="BS171" s="336"/>
      <c r="BT171" s="336"/>
      <c r="BU171" s="336"/>
      <c r="BV171" s="336"/>
      <c r="BW171" s="336"/>
      <c r="BX171" s="336"/>
      <c r="BY171" s="336"/>
      <c r="BZ171" s="336"/>
      <c r="CA171" s="336"/>
      <c r="CB171" s="336"/>
      <c r="CC171" s="336"/>
      <c r="CD171" s="336"/>
      <c r="CE171" s="336"/>
      <c r="CF171" s="336"/>
      <c r="CG171" s="336"/>
      <c r="CH171" s="336"/>
      <c r="CI171" s="336"/>
      <c r="CJ171" s="336"/>
      <c r="CK171" s="336"/>
      <c r="CL171" s="336"/>
      <c r="CM171" s="336"/>
      <c r="CN171" s="336"/>
      <c r="CO171" s="336"/>
      <c r="CP171" s="336"/>
      <c r="CQ171" s="336"/>
      <c r="CR171" s="336"/>
      <c r="CS171" s="336"/>
      <c r="CT171" s="336"/>
      <c r="CU171" s="336"/>
      <c r="CV171" s="336"/>
      <c r="CW171" s="336"/>
      <c r="CX171" s="336"/>
      <c r="CY171" s="336"/>
      <c r="CZ171" s="336"/>
      <c r="DA171" s="336"/>
      <c r="DB171" s="336"/>
      <c r="DC171" s="336"/>
      <c r="DD171" s="336"/>
      <c r="DE171" s="336"/>
      <c r="DF171" s="336"/>
      <c r="DG171" s="336"/>
      <c r="DH171" s="336"/>
      <c r="DI171" s="336"/>
      <c r="DJ171" s="336"/>
      <c r="DK171" s="336"/>
      <c r="DL171" s="336"/>
      <c r="DM171" s="336"/>
      <c r="DN171" s="336"/>
      <c r="DO171" s="336"/>
      <c r="DP171" s="336"/>
      <c r="DQ171" s="336"/>
      <c r="DR171" s="336"/>
      <c r="DS171" s="336"/>
      <c r="DT171" s="336"/>
      <c r="DU171" s="336"/>
      <c r="DV171" s="336"/>
      <c r="DW171" s="336"/>
      <c r="DX171" s="336"/>
      <c r="DY171" s="336"/>
      <c r="DZ171" s="336"/>
      <c r="EA171" s="336"/>
      <c r="EB171" s="336"/>
      <c r="EC171" s="336"/>
      <c r="ED171" s="336"/>
      <c r="EE171" s="336"/>
      <c r="EF171" s="336"/>
      <c r="EG171" s="336"/>
      <c r="EH171" s="336"/>
      <c r="EI171" s="336"/>
      <c r="EJ171" s="336"/>
      <c r="EK171" s="336"/>
      <c r="EL171" s="336"/>
      <c r="EM171" s="336"/>
      <c r="EN171" s="336"/>
      <c r="EO171" s="336"/>
      <c r="EP171" s="336"/>
      <c r="EQ171" s="336"/>
      <c r="ER171" s="336"/>
      <c r="ES171" s="336"/>
      <c r="ET171" s="336"/>
      <c r="EU171" s="336"/>
      <c r="EV171" s="336"/>
      <c r="EW171" s="336"/>
      <c r="EX171" s="336"/>
      <c r="EY171" s="336"/>
      <c r="EZ171" s="336"/>
      <c r="FA171" s="336"/>
      <c r="FB171" s="336"/>
      <c r="FC171" s="336"/>
      <c r="FD171" s="336"/>
      <c r="FE171" s="336"/>
      <c r="FF171" s="336"/>
      <c r="FG171" s="336"/>
      <c r="FH171" s="336"/>
      <c r="FI171" s="336"/>
      <c r="FJ171" s="336"/>
      <c r="FK171" s="336"/>
      <c r="FL171" s="336"/>
      <c r="FM171" s="336"/>
      <c r="FN171" s="336"/>
      <c r="FO171" s="336"/>
      <c r="FP171" s="336"/>
      <c r="FQ171" s="336"/>
      <c r="FR171" s="336"/>
      <c r="FS171" s="336"/>
      <c r="FT171" s="336"/>
      <c r="FU171" s="336"/>
      <c r="FV171" s="336"/>
      <c r="FW171" s="336"/>
      <c r="FX171" s="336"/>
      <c r="FY171" s="336"/>
      <c r="FZ171" s="336"/>
      <c r="GA171" s="336"/>
      <c r="GB171" s="336"/>
      <c r="GC171" s="336"/>
      <c r="GD171" s="336"/>
      <c r="GE171" s="336"/>
      <c r="GF171" s="336"/>
      <c r="GG171" s="336"/>
      <c r="GH171" s="336"/>
      <c r="GI171" s="336"/>
      <c r="GJ171" s="336"/>
      <c r="GK171" s="336"/>
    </row>
    <row r="172" spans="1:193" s="117" customFormat="1" ht="9" customHeight="1" x14ac:dyDescent="0.15">
      <c r="A172" s="152" t="s">
        <v>440</v>
      </c>
      <c r="B172" s="125">
        <v>0.05</v>
      </c>
      <c r="C172" s="140">
        <f>D172/1000</f>
        <v>25.585207547481428</v>
      </c>
      <c r="D172" s="196">
        <f>E172+U172</f>
        <v>25585.207547481426</v>
      </c>
      <c r="E172" s="274">
        <v>11157.4</v>
      </c>
      <c r="F172" s="301">
        <f>K172/2</f>
        <v>14.298999999999999</v>
      </c>
      <c r="G172" s="258">
        <f t="shared" si="79"/>
        <v>7149.5</v>
      </c>
      <c r="H172" s="246">
        <f>L172-I172</f>
        <v>28598</v>
      </c>
      <c r="I172" s="198"/>
      <c r="J172" s="305">
        <f t="shared" si="66"/>
        <v>28.597999999999999</v>
      </c>
      <c r="K172" s="41">
        <f t="shared" si="47"/>
        <v>28.597999999999999</v>
      </c>
      <c r="L172" s="200">
        <v>28598</v>
      </c>
      <c r="M172" s="195">
        <f t="shared" si="82"/>
        <v>-629.46371999999997</v>
      </c>
      <c r="N172" s="33"/>
      <c r="O172" s="405">
        <f>R172/2</f>
        <v>-1925</v>
      </c>
      <c r="P172" s="406">
        <f t="shared" si="86"/>
        <v>2887500</v>
      </c>
      <c r="Q172" s="309">
        <f t="shared" si="65"/>
        <v>-3850</v>
      </c>
      <c r="R172" s="41">
        <f>S172/1000*-1</f>
        <v>-3850</v>
      </c>
      <c r="S172" s="200">
        <v>3850000</v>
      </c>
      <c r="T172" s="266">
        <v>629463.72</v>
      </c>
      <c r="U172" s="227">
        <f t="shared" si="87"/>
        <v>14427.807547481425</v>
      </c>
      <c r="V172" s="33">
        <f>C172+M172</f>
        <v>-603.87851245251852</v>
      </c>
      <c r="W172" s="33">
        <f>F172+O172</f>
        <v>-1910.701</v>
      </c>
      <c r="X172" s="306">
        <f>J172+Q172</f>
        <v>-3821.402</v>
      </c>
      <c r="Y172" s="41">
        <f>K172+R172</f>
        <v>-3821.402</v>
      </c>
      <c r="Z172" s="250">
        <f t="shared" si="55"/>
        <v>0</v>
      </c>
      <c r="AA172" s="174">
        <f t="shared" si="56"/>
        <v>0</v>
      </c>
      <c r="AB172" s="252"/>
      <c r="AC172" s="336"/>
      <c r="AD172" s="252"/>
      <c r="AE172" s="336"/>
      <c r="AF172" s="336"/>
      <c r="AG172" s="336"/>
      <c r="AH172" s="336"/>
      <c r="AI172" s="336"/>
      <c r="AJ172" s="336"/>
      <c r="AK172" s="336"/>
      <c r="AL172" s="336"/>
      <c r="AM172" s="336"/>
      <c r="AN172" s="336"/>
      <c r="AO172" s="336"/>
      <c r="AP172" s="336"/>
      <c r="AQ172" s="336"/>
      <c r="AR172" s="336"/>
      <c r="AS172" s="336"/>
      <c r="AT172" s="336"/>
      <c r="AU172" s="336"/>
      <c r="AV172" s="336"/>
      <c r="AW172" s="336"/>
      <c r="AX172" s="336"/>
      <c r="AY172" s="336"/>
      <c r="AZ172" s="336"/>
      <c r="BA172" s="336"/>
      <c r="BB172" s="336"/>
      <c r="BC172" s="336"/>
      <c r="BD172" s="336"/>
      <c r="BE172" s="336"/>
      <c r="BF172" s="336"/>
      <c r="BG172" s="336"/>
      <c r="BH172" s="336"/>
      <c r="BI172" s="336"/>
      <c r="BJ172" s="336"/>
      <c r="BK172" s="336"/>
      <c r="BL172" s="336"/>
      <c r="BM172" s="336"/>
      <c r="BN172" s="336"/>
      <c r="BO172" s="336"/>
      <c r="BP172" s="336"/>
      <c r="BQ172" s="336"/>
      <c r="BR172" s="336"/>
      <c r="BS172" s="336"/>
      <c r="BT172" s="336"/>
      <c r="BU172" s="336"/>
      <c r="BV172" s="336"/>
      <c r="BW172" s="336"/>
      <c r="BX172" s="336"/>
      <c r="BY172" s="336"/>
      <c r="BZ172" s="336"/>
      <c r="CA172" s="336"/>
      <c r="CB172" s="336"/>
      <c r="CC172" s="336"/>
      <c r="CD172" s="336"/>
      <c r="CE172" s="336"/>
      <c r="CF172" s="336"/>
      <c r="CG172" s="336"/>
      <c r="CH172" s="336"/>
      <c r="CI172" s="336"/>
      <c r="CJ172" s="336"/>
      <c r="CK172" s="336"/>
      <c r="CL172" s="336"/>
      <c r="CM172" s="336"/>
      <c r="CN172" s="336"/>
      <c r="CO172" s="336"/>
      <c r="CP172" s="336"/>
      <c r="CQ172" s="336"/>
      <c r="CR172" s="336"/>
      <c r="CS172" s="336"/>
      <c r="CT172" s="336"/>
      <c r="CU172" s="336"/>
      <c r="CV172" s="336"/>
      <c r="CW172" s="336"/>
      <c r="CX172" s="336"/>
      <c r="CY172" s="336"/>
      <c r="CZ172" s="336"/>
      <c r="DA172" s="336"/>
      <c r="DB172" s="336"/>
      <c r="DC172" s="336"/>
      <c r="DD172" s="336"/>
      <c r="DE172" s="336"/>
      <c r="DF172" s="336"/>
      <c r="DG172" s="336"/>
      <c r="DH172" s="336"/>
      <c r="DI172" s="336"/>
      <c r="DJ172" s="336"/>
      <c r="DK172" s="336"/>
      <c r="DL172" s="336"/>
      <c r="DM172" s="336"/>
      <c r="DN172" s="336"/>
      <c r="DO172" s="336"/>
      <c r="DP172" s="336"/>
      <c r="DQ172" s="336"/>
      <c r="DR172" s="336"/>
      <c r="DS172" s="336"/>
      <c r="DT172" s="336"/>
      <c r="DU172" s="336"/>
      <c r="DV172" s="336"/>
      <c r="DW172" s="336"/>
      <c r="DX172" s="336"/>
      <c r="DY172" s="336"/>
      <c r="DZ172" s="336"/>
      <c r="EA172" s="336"/>
      <c r="EB172" s="336"/>
      <c r="EC172" s="336"/>
      <c r="ED172" s="336"/>
      <c r="EE172" s="336"/>
      <c r="EF172" s="336"/>
      <c r="EG172" s="336"/>
      <c r="EH172" s="336"/>
      <c r="EI172" s="336"/>
      <c r="EJ172" s="336"/>
      <c r="EK172" s="336"/>
      <c r="EL172" s="336"/>
      <c r="EM172" s="336"/>
      <c r="EN172" s="336"/>
      <c r="EO172" s="336"/>
      <c r="EP172" s="336"/>
      <c r="EQ172" s="336"/>
      <c r="ER172" s="336"/>
      <c r="ES172" s="336"/>
      <c r="ET172" s="336"/>
      <c r="EU172" s="336"/>
      <c r="EV172" s="336"/>
      <c r="EW172" s="336"/>
      <c r="EX172" s="336"/>
      <c r="EY172" s="336"/>
      <c r="EZ172" s="336"/>
      <c r="FA172" s="336"/>
      <c r="FB172" s="336"/>
      <c r="FC172" s="336"/>
      <c r="FD172" s="336"/>
      <c r="FE172" s="336"/>
      <c r="FF172" s="336"/>
      <c r="FG172" s="336"/>
      <c r="FH172" s="336"/>
      <c r="FI172" s="336"/>
      <c r="FJ172" s="336"/>
      <c r="FK172" s="336"/>
      <c r="FL172" s="336"/>
      <c r="FM172" s="336"/>
      <c r="FN172" s="336"/>
      <c r="FO172" s="336"/>
      <c r="FP172" s="336"/>
      <c r="FQ172" s="336"/>
      <c r="FR172" s="336"/>
      <c r="FS172" s="336"/>
      <c r="FT172" s="336"/>
      <c r="FU172" s="336"/>
      <c r="FV172" s="336"/>
      <c r="FW172" s="336"/>
      <c r="FX172" s="336"/>
      <c r="FY172" s="336"/>
      <c r="FZ172" s="336"/>
      <c r="GA172" s="336"/>
      <c r="GB172" s="336"/>
      <c r="GC172" s="336"/>
      <c r="GD172" s="336"/>
      <c r="GE172" s="336"/>
      <c r="GF172" s="336"/>
      <c r="GG172" s="336"/>
      <c r="GH172" s="336"/>
      <c r="GI172" s="336"/>
      <c r="GJ172" s="336"/>
      <c r="GK172" s="336"/>
    </row>
    <row r="173" spans="1:193" s="189" customFormat="1" ht="9.75" hidden="1" customHeight="1" x14ac:dyDescent="0.15">
      <c r="A173" s="142"/>
      <c r="B173" s="125"/>
      <c r="C173" s="145"/>
      <c r="D173" s="260">
        <f t="shared" ref="D173:D175" si="89">E173+U173</f>
        <v>0</v>
      </c>
      <c r="E173" s="274"/>
      <c r="F173" s="301">
        <f t="shared" si="67"/>
        <v>0</v>
      </c>
      <c r="G173" s="258">
        <f t="shared" si="79"/>
        <v>0</v>
      </c>
      <c r="H173" s="246">
        <f t="shared" si="80"/>
        <v>0</v>
      </c>
      <c r="I173" s="198">
        <f t="shared" si="53"/>
        <v>0</v>
      </c>
      <c r="J173" s="305">
        <f t="shared" si="66"/>
        <v>0</v>
      </c>
      <c r="K173" s="43">
        <f t="shared" si="47"/>
        <v>0</v>
      </c>
      <c r="L173" s="200"/>
      <c r="M173" s="196">
        <f t="shared" si="82"/>
        <v>0</v>
      </c>
      <c r="N173" s="36"/>
      <c r="O173" s="405">
        <f t="shared" si="64"/>
        <v>0</v>
      </c>
      <c r="P173" s="406">
        <f t="shared" si="86"/>
        <v>0</v>
      </c>
      <c r="Q173" s="309">
        <f t="shared" si="65"/>
        <v>0</v>
      </c>
      <c r="R173" s="43"/>
      <c r="S173" s="200"/>
      <c r="T173" s="266"/>
      <c r="U173" s="227">
        <f t="shared" si="87"/>
        <v>0</v>
      </c>
      <c r="V173" s="36"/>
      <c r="W173" s="36"/>
      <c r="X173" s="248"/>
      <c r="Y173" s="43"/>
      <c r="Z173" s="250">
        <f t="shared" si="55"/>
        <v>0</v>
      </c>
      <c r="AA173" s="174">
        <f t="shared" si="56"/>
        <v>0</v>
      </c>
      <c r="AB173" s="252"/>
      <c r="AC173" s="336"/>
      <c r="AD173" s="252"/>
      <c r="AE173" s="336"/>
      <c r="AF173" s="336"/>
      <c r="AG173" s="336"/>
      <c r="AH173" s="336"/>
      <c r="AI173" s="336"/>
      <c r="AJ173" s="336"/>
      <c r="AK173" s="336"/>
      <c r="AL173" s="336"/>
      <c r="AM173" s="336"/>
      <c r="AN173" s="336"/>
      <c r="AO173" s="336"/>
      <c r="AP173" s="336"/>
      <c r="AQ173" s="336"/>
      <c r="AR173" s="336"/>
      <c r="AS173" s="336"/>
      <c r="AT173" s="336"/>
      <c r="AU173" s="336"/>
      <c r="AV173" s="336"/>
      <c r="AW173" s="336"/>
      <c r="AX173" s="336"/>
      <c r="AY173" s="336"/>
      <c r="AZ173" s="336"/>
      <c r="BA173" s="336"/>
      <c r="BB173" s="336"/>
      <c r="BC173" s="336"/>
      <c r="BD173" s="336"/>
      <c r="BE173" s="336"/>
      <c r="BF173" s="336"/>
      <c r="BG173" s="336"/>
      <c r="BH173" s="336"/>
      <c r="BI173" s="336"/>
      <c r="BJ173" s="336"/>
      <c r="BK173" s="336"/>
      <c r="BL173" s="336"/>
      <c r="BM173" s="336"/>
      <c r="BN173" s="336"/>
      <c r="BO173" s="336"/>
      <c r="BP173" s="336"/>
      <c r="BQ173" s="336"/>
      <c r="BR173" s="336"/>
      <c r="BS173" s="336"/>
      <c r="BT173" s="336"/>
      <c r="BU173" s="336"/>
      <c r="BV173" s="336"/>
      <c r="BW173" s="336"/>
      <c r="BX173" s="336"/>
      <c r="BY173" s="336"/>
      <c r="BZ173" s="336"/>
      <c r="CA173" s="336"/>
      <c r="CB173" s="336"/>
      <c r="CC173" s="336"/>
      <c r="CD173" s="336"/>
      <c r="CE173" s="336"/>
      <c r="CF173" s="336"/>
      <c r="CG173" s="336"/>
      <c r="CH173" s="336"/>
      <c r="CI173" s="336"/>
      <c r="CJ173" s="336"/>
      <c r="CK173" s="336"/>
      <c r="CL173" s="336"/>
      <c r="CM173" s="336"/>
      <c r="CN173" s="336"/>
      <c r="CO173" s="336"/>
      <c r="CP173" s="336"/>
      <c r="CQ173" s="336"/>
      <c r="CR173" s="336"/>
      <c r="CS173" s="336"/>
      <c r="CT173" s="336"/>
      <c r="CU173" s="336"/>
      <c r="CV173" s="336"/>
      <c r="CW173" s="336"/>
      <c r="CX173" s="336"/>
      <c r="CY173" s="336"/>
      <c r="CZ173" s="336"/>
      <c r="DA173" s="336"/>
      <c r="DB173" s="336"/>
      <c r="DC173" s="336"/>
      <c r="DD173" s="336"/>
      <c r="DE173" s="336"/>
      <c r="DF173" s="336"/>
      <c r="DG173" s="336"/>
      <c r="DH173" s="336"/>
      <c r="DI173" s="336"/>
      <c r="DJ173" s="336"/>
      <c r="DK173" s="336"/>
      <c r="DL173" s="336"/>
      <c r="DM173" s="336"/>
      <c r="DN173" s="336"/>
      <c r="DO173" s="336"/>
      <c r="DP173" s="336"/>
      <c r="DQ173" s="336"/>
      <c r="DR173" s="336"/>
      <c r="DS173" s="336"/>
      <c r="DT173" s="336"/>
      <c r="DU173" s="336"/>
      <c r="DV173" s="336"/>
      <c r="DW173" s="336"/>
      <c r="DX173" s="336"/>
      <c r="DY173" s="336"/>
      <c r="DZ173" s="336"/>
      <c r="EA173" s="336"/>
      <c r="EB173" s="336"/>
      <c r="EC173" s="336"/>
      <c r="ED173" s="336"/>
      <c r="EE173" s="336"/>
      <c r="EF173" s="336"/>
      <c r="EG173" s="336"/>
      <c r="EH173" s="336"/>
      <c r="EI173" s="336"/>
      <c r="EJ173" s="336"/>
      <c r="EK173" s="336"/>
      <c r="EL173" s="336"/>
      <c r="EM173" s="336"/>
      <c r="EN173" s="336"/>
      <c r="EO173" s="336"/>
      <c r="EP173" s="336"/>
      <c r="EQ173" s="336"/>
      <c r="ER173" s="336"/>
      <c r="ES173" s="336"/>
      <c r="ET173" s="336"/>
      <c r="EU173" s="336"/>
      <c r="EV173" s="336"/>
      <c r="EW173" s="336"/>
      <c r="EX173" s="336"/>
      <c r="EY173" s="336"/>
      <c r="EZ173" s="336"/>
      <c r="FA173" s="336"/>
      <c r="FB173" s="336"/>
      <c r="FC173" s="336"/>
      <c r="FD173" s="336"/>
      <c r="FE173" s="336"/>
      <c r="FF173" s="336"/>
      <c r="FG173" s="336"/>
      <c r="FH173" s="336"/>
      <c r="FI173" s="336"/>
      <c r="FJ173" s="336"/>
      <c r="FK173" s="336"/>
      <c r="FL173" s="336"/>
      <c r="FM173" s="336"/>
      <c r="FN173" s="336"/>
      <c r="FO173" s="336"/>
      <c r="FP173" s="336"/>
      <c r="FQ173" s="336"/>
      <c r="FR173" s="336"/>
      <c r="FS173" s="336"/>
      <c r="FT173" s="336"/>
      <c r="FU173" s="336"/>
      <c r="FV173" s="336"/>
      <c r="FW173" s="336"/>
      <c r="FX173" s="336"/>
      <c r="FY173" s="336"/>
      <c r="FZ173" s="336"/>
      <c r="GA173" s="336"/>
      <c r="GB173" s="336"/>
      <c r="GC173" s="336"/>
      <c r="GD173" s="336"/>
      <c r="GE173" s="336"/>
      <c r="GF173" s="336"/>
      <c r="GG173" s="336"/>
      <c r="GH173" s="336"/>
      <c r="GI173" s="336"/>
      <c r="GJ173" s="336"/>
      <c r="GK173" s="336"/>
    </row>
    <row r="174" spans="1:193" s="117" customFormat="1" ht="10.5" hidden="1" customHeight="1" x14ac:dyDescent="0.15">
      <c r="A174" s="186" t="s">
        <v>119</v>
      </c>
      <c r="B174" s="187">
        <f>B175</f>
        <v>0</v>
      </c>
      <c r="C174" s="170"/>
      <c r="D174" s="260">
        <f t="shared" si="89"/>
        <v>0</v>
      </c>
      <c r="E174" s="273"/>
      <c r="F174" s="301">
        <f t="shared" si="67"/>
        <v>0</v>
      </c>
      <c r="G174" s="258">
        <f t="shared" si="79"/>
        <v>0</v>
      </c>
      <c r="H174" s="246">
        <f t="shared" si="80"/>
        <v>0</v>
      </c>
      <c r="I174" s="198">
        <f t="shared" si="53"/>
        <v>0</v>
      </c>
      <c r="J174" s="305">
        <f t="shared" si="66"/>
        <v>0</v>
      </c>
      <c r="K174" s="191">
        <f t="shared" si="47"/>
        <v>0</v>
      </c>
      <c r="L174" s="198">
        <f>L175</f>
        <v>0</v>
      </c>
      <c r="M174" s="191">
        <f t="shared" si="82"/>
        <v>0</v>
      </c>
      <c r="N174" s="173"/>
      <c r="O174" s="405">
        <f t="shared" si="64"/>
        <v>0</v>
      </c>
      <c r="P174" s="406">
        <f t="shared" si="86"/>
        <v>0</v>
      </c>
      <c r="Q174" s="309">
        <f t="shared" si="65"/>
        <v>0</v>
      </c>
      <c r="R174" s="171">
        <v>0</v>
      </c>
      <c r="S174" s="198"/>
      <c r="T174" s="265"/>
      <c r="U174" s="210">
        <f t="shared" si="87"/>
        <v>0</v>
      </c>
      <c r="V174" s="173">
        <v>0</v>
      </c>
      <c r="W174" s="173">
        <v>0</v>
      </c>
      <c r="X174" s="191">
        <f>J174+Q174</f>
        <v>0</v>
      </c>
      <c r="Y174" s="171">
        <f>K174+R174</f>
        <v>0</v>
      </c>
      <c r="Z174" s="250">
        <f t="shared" si="55"/>
        <v>0</v>
      </c>
      <c r="AA174" s="174">
        <f t="shared" si="56"/>
        <v>0</v>
      </c>
      <c r="AB174" s="252"/>
      <c r="AC174" s="336"/>
      <c r="AD174" s="252"/>
      <c r="AE174" s="336"/>
      <c r="AF174" s="336"/>
      <c r="AG174" s="336"/>
      <c r="AH174" s="336"/>
      <c r="AI174" s="336"/>
      <c r="AJ174" s="336"/>
      <c r="AK174" s="336"/>
      <c r="AL174" s="336"/>
      <c r="AM174" s="336"/>
      <c r="AN174" s="336"/>
      <c r="AO174" s="336"/>
      <c r="AP174" s="336"/>
      <c r="AQ174" s="336"/>
      <c r="AR174" s="336"/>
      <c r="AS174" s="336"/>
      <c r="AT174" s="336"/>
      <c r="AU174" s="336"/>
      <c r="AV174" s="336"/>
      <c r="AW174" s="336"/>
      <c r="AX174" s="336"/>
      <c r="AY174" s="336"/>
      <c r="AZ174" s="336"/>
      <c r="BA174" s="336"/>
      <c r="BB174" s="336"/>
      <c r="BC174" s="336"/>
      <c r="BD174" s="336"/>
      <c r="BE174" s="336"/>
      <c r="BF174" s="336"/>
      <c r="BG174" s="336"/>
      <c r="BH174" s="336"/>
      <c r="BI174" s="336"/>
      <c r="BJ174" s="336"/>
      <c r="BK174" s="336"/>
      <c r="BL174" s="336"/>
      <c r="BM174" s="336"/>
      <c r="BN174" s="336"/>
      <c r="BO174" s="336"/>
      <c r="BP174" s="336"/>
      <c r="BQ174" s="336"/>
      <c r="BR174" s="336"/>
      <c r="BS174" s="336"/>
      <c r="BT174" s="336"/>
      <c r="BU174" s="336"/>
      <c r="BV174" s="336"/>
      <c r="BW174" s="336"/>
      <c r="BX174" s="336"/>
      <c r="BY174" s="336"/>
      <c r="BZ174" s="336"/>
      <c r="CA174" s="336"/>
      <c r="CB174" s="336"/>
      <c r="CC174" s="336"/>
      <c r="CD174" s="336"/>
      <c r="CE174" s="336"/>
      <c r="CF174" s="336"/>
      <c r="CG174" s="336"/>
      <c r="CH174" s="336"/>
      <c r="CI174" s="336"/>
      <c r="CJ174" s="336"/>
      <c r="CK174" s="336"/>
      <c r="CL174" s="336"/>
      <c r="CM174" s="336"/>
      <c r="CN174" s="336"/>
      <c r="CO174" s="336"/>
      <c r="CP174" s="336"/>
      <c r="CQ174" s="336"/>
      <c r="CR174" s="336"/>
      <c r="CS174" s="336"/>
      <c r="CT174" s="336"/>
      <c r="CU174" s="336"/>
      <c r="CV174" s="336"/>
      <c r="CW174" s="336"/>
      <c r="CX174" s="336"/>
      <c r="CY174" s="336"/>
      <c r="CZ174" s="336"/>
      <c r="DA174" s="336"/>
      <c r="DB174" s="336"/>
      <c r="DC174" s="336"/>
      <c r="DD174" s="336"/>
      <c r="DE174" s="336"/>
      <c r="DF174" s="336"/>
      <c r="DG174" s="336"/>
      <c r="DH174" s="336"/>
      <c r="DI174" s="336"/>
      <c r="DJ174" s="336"/>
      <c r="DK174" s="336"/>
      <c r="DL174" s="336"/>
      <c r="DM174" s="336"/>
      <c r="DN174" s="336"/>
      <c r="DO174" s="336"/>
      <c r="DP174" s="336"/>
      <c r="DQ174" s="336"/>
      <c r="DR174" s="336"/>
      <c r="DS174" s="336"/>
      <c r="DT174" s="336"/>
      <c r="DU174" s="336"/>
      <c r="DV174" s="336"/>
      <c r="DW174" s="336"/>
      <c r="DX174" s="336"/>
      <c r="DY174" s="336"/>
      <c r="DZ174" s="336"/>
      <c r="EA174" s="336"/>
      <c r="EB174" s="336"/>
      <c r="EC174" s="336"/>
      <c r="ED174" s="336"/>
      <c r="EE174" s="336"/>
      <c r="EF174" s="336"/>
      <c r="EG174" s="336"/>
      <c r="EH174" s="336"/>
      <c r="EI174" s="336"/>
      <c r="EJ174" s="336"/>
      <c r="EK174" s="336"/>
      <c r="EL174" s="336"/>
      <c r="EM174" s="336"/>
      <c r="EN174" s="336"/>
      <c r="EO174" s="336"/>
      <c r="EP174" s="336"/>
      <c r="EQ174" s="336"/>
      <c r="ER174" s="336"/>
      <c r="ES174" s="336"/>
      <c r="ET174" s="336"/>
      <c r="EU174" s="336"/>
      <c r="EV174" s="336"/>
      <c r="EW174" s="336"/>
      <c r="EX174" s="336"/>
      <c r="EY174" s="336"/>
      <c r="EZ174" s="336"/>
      <c r="FA174" s="336"/>
      <c r="FB174" s="336"/>
      <c r="FC174" s="336"/>
      <c r="FD174" s="336"/>
      <c r="FE174" s="336"/>
      <c r="FF174" s="336"/>
      <c r="FG174" s="336"/>
      <c r="FH174" s="336"/>
      <c r="FI174" s="336"/>
      <c r="FJ174" s="336"/>
      <c r="FK174" s="336"/>
      <c r="FL174" s="336"/>
      <c r="FM174" s="336"/>
      <c r="FN174" s="336"/>
      <c r="FO174" s="336"/>
      <c r="FP174" s="336"/>
      <c r="FQ174" s="336"/>
      <c r="FR174" s="336"/>
      <c r="FS174" s="336"/>
      <c r="FT174" s="336"/>
      <c r="FU174" s="336"/>
      <c r="FV174" s="336"/>
      <c r="FW174" s="336"/>
      <c r="FX174" s="336"/>
      <c r="FY174" s="336"/>
      <c r="FZ174" s="336"/>
      <c r="GA174" s="336"/>
      <c r="GB174" s="336"/>
      <c r="GC174" s="336"/>
      <c r="GD174" s="336"/>
      <c r="GE174" s="336"/>
      <c r="GF174" s="336"/>
      <c r="GG174" s="336"/>
      <c r="GH174" s="336"/>
      <c r="GI174" s="336"/>
      <c r="GJ174" s="336"/>
      <c r="GK174" s="336"/>
    </row>
    <row r="175" spans="1:193" s="117" customFormat="1" hidden="1" x14ac:dyDescent="0.15">
      <c r="A175" s="142"/>
      <c r="B175" s="125"/>
      <c r="C175" s="145">
        <f>D175/1000</f>
        <v>0</v>
      </c>
      <c r="D175" s="260">
        <f t="shared" si="89"/>
        <v>0</v>
      </c>
      <c r="E175" s="274"/>
      <c r="F175" s="301">
        <f t="shared" si="67"/>
        <v>0</v>
      </c>
      <c r="G175" s="258">
        <f t="shared" si="79"/>
        <v>0</v>
      </c>
      <c r="H175" s="196">
        <f t="shared" ref="H175" si="90">I175/1000</f>
        <v>0</v>
      </c>
      <c r="I175" s="198">
        <f t="shared" si="53"/>
        <v>0</v>
      </c>
      <c r="J175" s="305">
        <f t="shared" si="66"/>
        <v>0</v>
      </c>
      <c r="K175" s="43">
        <f t="shared" si="47"/>
        <v>0</v>
      </c>
      <c r="L175" s="200"/>
      <c r="M175" s="196">
        <f t="shared" si="82"/>
        <v>0</v>
      </c>
      <c r="N175" s="36"/>
      <c r="O175" s="405">
        <f t="shared" si="64"/>
        <v>0</v>
      </c>
      <c r="P175" s="406">
        <f t="shared" si="86"/>
        <v>0</v>
      </c>
      <c r="Q175" s="309">
        <f t="shared" si="65"/>
        <v>0</v>
      </c>
      <c r="R175" s="43">
        <f>S175/1000*-1</f>
        <v>0</v>
      </c>
      <c r="S175" s="200"/>
      <c r="T175" s="266"/>
      <c r="U175" s="227">
        <f t="shared" si="87"/>
        <v>0</v>
      </c>
      <c r="V175" s="36">
        <f>C175+M175</f>
        <v>0</v>
      </c>
      <c r="W175" s="36">
        <f>F175+O175</f>
        <v>0</v>
      </c>
      <c r="X175" s="248">
        <f>J175+Q175</f>
        <v>0</v>
      </c>
      <c r="Y175" s="43">
        <v>0</v>
      </c>
      <c r="Z175" s="250"/>
      <c r="AA175" s="174"/>
      <c r="AB175" s="252"/>
      <c r="AC175" s="336"/>
      <c r="AD175" s="252"/>
      <c r="AE175" s="336"/>
      <c r="AF175" s="336"/>
      <c r="AG175" s="336"/>
      <c r="AH175" s="336"/>
      <c r="AI175" s="336"/>
      <c r="AJ175" s="336"/>
      <c r="AK175" s="336"/>
      <c r="AL175" s="336"/>
      <c r="AM175" s="336"/>
      <c r="AN175" s="336"/>
      <c r="AO175" s="336"/>
      <c r="AP175" s="336"/>
      <c r="AQ175" s="336"/>
      <c r="AR175" s="336"/>
      <c r="AS175" s="336"/>
      <c r="AT175" s="336"/>
      <c r="AU175" s="336"/>
      <c r="AV175" s="336"/>
      <c r="AW175" s="336"/>
      <c r="AX175" s="336"/>
      <c r="AY175" s="336"/>
      <c r="AZ175" s="336"/>
      <c r="BA175" s="336"/>
      <c r="BB175" s="336"/>
      <c r="BC175" s="336"/>
      <c r="BD175" s="336"/>
      <c r="BE175" s="336"/>
      <c r="BF175" s="336"/>
      <c r="BG175" s="336"/>
      <c r="BH175" s="336"/>
      <c r="BI175" s="336"/>
      <c r="BJ175" s="336"/>
      <c r="BK175" s="336"/>
      <c r="BL175" s="336"/>
      <c r="BM175" s="336"/>
      <c r="BN175" s="336"/>
      <c r="BO175" s="336"/>
      <c r="BP175" s="336"/>
      <c r="BQ175" s="336"/>
      <c r="BR175" s="336"/>
      <c r="BS175" s="336"/>
      <c r="BT175" s="336"/>
      <c r="BU175" s="336"/>
      <c r="BV175" s="336"/>
      <c r="BW175" s="336"/>
      <c r="BX175" s="336"/>
      <c r="BY175" s="336"/>
      <c r="BZ175" s="336"/>
      <c r="CA175" s="336"/>
      <c r="CB175" s="336"/>
      <c r="CC175" s="336"/>
      <c r="CD175" s="336"/>
      <c r="CE175" s="336"/>
      <c r="CF175" s="336"/>
      <c r="CG175" s="336"/>
      <c r="CH175" s="336"/>
      <c r="CI175" s="336"/>
      <c r="CJ175" s="336"/>
      <c r="CK175" s="336"/>
      <c r="CL175" s="336"/>
      <c r="CM175" s="336"/>
      <c r="CN175" s="336"/>
      <c r="CO175" s="336"/>
      <c r="CP175" s="336"/>
      <c r="CQ175" s="336"/>
      <c r="CR175" s="336"/>
      <c r="CS175" s="336"/>
      <c r="CT175" s="336"/>
      <c r="CU175" s="336"/>
      <c r="CV175" s="336"/>
      <c r="CW175" s="336"/>
      <c r="CX175" s="336"/>
      <c r="CY175" s="336"/>
      <c r="CZ175" s="336"/>
      <c r="DA175" s="336"/>
      <c r="DB175" s="336"/>
      <c r="DC175" s="336"/>
      <c r="DD175" s="336"/>
      <c r="DE175" s="336"/>
      <c r="DF175" s="336"/>
      <c r="DG175" s="336"/>
      <c r="DH175" s="336"/>
      <c r="DI175" s="336"/>
      <c r="DJ175" s="336"/>
      <c r="DK175" s="336"/>
      <c r="DL175" s="336"/>
      <c r="DM175" s="336"/>
      <c r="DN175" s="336"/>
      <c r="DO175" s="336"/>
      <c r="DP175" s="336"/>
      <c r="DQ175" s="336"/>
      <c r="DR175" s="336"/>
      <c r="DS175" s="336"/>
      <c r="DT175" s="336"/>
      <c r="DU175" s="336"/>
      <c r="DV175" s="336"/>
      <c r="DW175" s="336"/>
      <c r="DX175" s="336"/>
      <c r="DY175" s="336"/>
      <c r="DZ175" s="336"/>
      <c r="EA175" s="336"/>
      <c r="EB175" s="336"/>
      <c r="EC175" s="336"/>
      <c r="ED175" s="336"/>
      <c r="EE175" s="336"/>
      <c r="EF175" s="336"/>
      <c r="EG175" s="336"/>
      <c r="EH175" s="336"/>
      <c r="EI175" s="336"/>
      <c r="EJ175" s="336"/>
      <c r="EK175" s="336"/>
      <c r="EL175" s="336"/>
      <c r="EM175" s="336"/>
      <c r="EN175" s="336"/>
      <c r="EO175" s="336"/>
      <c r="EP175" s="336"/>
      <c r="EQ175" s="336"/>
      <c r="ER175" s="336"/>
      <c r="ES175" s="336"/>
      <c r="ET175" s="336"/>
      <c r="EU175" s="336"/>
      <c r="EV175" s="336"/>
      <c r="EW175" s="336"/>
      <c r="EX175" s="336"/>
      <c r="EY175" s="336"/>
      <c r="EZ175" s="336"/>
      <c r="FA175" s="336"/>
      <c r="FB175" s="336"/>
      <c r="FC175" s="336"/>
      <c r="FD175" s="336"/>
      <c r="FE175" s="336"/>
      <c r="FF175" s="336"/>
      <c r="FG175" s="336"/>
      <c r="FH175" s="336"/>
      <c r="FI175" s="336"/>
      <c r="FJ175" s="336"/>
      <c r="FK175" s="336"/>
      <c r="FL175" s="336"/>
      <c r="FM175" s="336"/>
      <c r="FN175" s="336"/>
      <c r="FO175" s="336"/>
      <c r="FP175" s="336"/>
      <c r="FQ175" s="336"/>
      <c r="FR175" s="336"/>
      <c r="FS175" s="336"/>
      <c r="FT175" s="336"/>
      <c r="FU175" s="336"/>
      <c r="FV175" s="336"/>
      <c r="FW175" s="336"/>
      <c r="FX175" s="336"/>
      <c r="FY175" s="336"/>
      <c r="FZ175" s="336"/>
      <c r="GA175" s="336"/>
      <c r="GB175" s="336"/>
      <c r="GC175" s="336"/>
      <c r="GD175" s="336"/>
      <c r="GE175" s="336"/>
      <c r="GF175" s="336"/>
      <c r="GG175" s="336"/>
      <c r="GH175" s="336"/>
      <c r="GI175" s="336"/>
      <c r="GJ175" s="336"/>
      <c r="GK175" s="336"/>
    </row>
    <row r="176" spans="1:193" s="117" customFormat="1" hidden="1" x14ac:dyDescent="0.15">
      <c r="A176" s="142"/>
      <c r="B176" s="384"/>
      <c r="C176" s="145"/>
      <c r="D176" s="260"/>
      <c r="E176" s="343"/>
      <c r="F176" s="301">
        <f t="shared" si="67"/>
        <v>0</v>
      </c>
      <c r="G176" s="258"/>
      <c r="H176" s="196"/>
      <c r="I176" s="198"/>
      <c r="J176" s="305">
        <f t="shared" si="66"/>
        <v>0</v>
      </c>
      <c r="K176" s="43"/>
      <c r="L176" s="200"/>
      <c r="M176" s="196"/>
      <c r="N176" s="344"/>
      <c r="O176" s="405">
        <f t="shared" si="64"/>
        <v>0</v>
      </c>
      <c r="P176" s="406"/>
      <c r="Q176" s="309">
        <f t="shared" si="65"/>
        <v>0</v>
      </c>
      <c r="R176" s="43"/>
      <c r="S176" s="345"/>
      <c r="T176" s="346"/>
      <c r="U176" s="347"/>
      <c r="V176" s="36"/>
      <c r="W176" s="36"/>
      <c r="X176" s="248"/>
      <c r="Y176" s="43"/>
      <c r="Z176" s="250">
        <f t="shared" si="55"/>
        <v>40631.052209999987</v>
      </c>
      <c r="AA176" s="174">
        <f t="shared" si="56"/>
        <v>41333.146329999996</v>
      </c>
      <c r="AB176" s="252"/>
      <c r="AC176" s="336"/>
      <c r="AD176" s="252"/>
      <c r="AE176" s="336"/>
      <c r="AF176" s="336"/>
      <c r="AG176" s="336"/>
      <c r="AH176" s="336"/>
      <c r="AI176" s="336"/>
      <c r="AJ176" s="336"/>
      <c r="AK176" s="336"/>
      <c r="AL176" s="336"/>
      <c r="AM176" s="336"/>
      <c r="AN176" s="336"/>
      <c r="AO176" s="336"/>
      <c r="AP176" s="336"/>
      <c r="AQ176" s="336"/>
      <c r="AR176" s="336"/>
      <c r="AS176" s="336"/>
      <c r="AT176" s="336"/>
      <c r="AU176" s="336"/>
      <c r="AV176" s="336"/>
      <c r="AW176" s="336"/>
      <c r="AX176" s="336"/>
      <c r="AY176" s="336"/>
      <c r="AZ176" s="336"/>
      <c r="BA176" s="336"/>
      <c r="BB176" s="336"/>
      <c r="BC176" s="336"/>
      <c r="BD176" s="336"/>
      <c r="BE176" s="336"/>
      <c r="BF176" s="336"/>
      <c r="BG176" s="336"/>
      <c r="BH176" s="336"/>
      <c r="BI176" s="336"/>
      <c r="BJ176" s="336"/>
      <c r="BK176" s="336"/>
      <c r="BL176" s="336"/>
      <c r="BM176" s="336"/>
      <c r="BN176" s="336"/>
      <c r="BO176" s="336"/>
      <c r="BP176" s="336"/>
      <c r="BQ176" s="336"/>
      <c r="BR176" s="336"/>
      <c r="BS176" s="336"/>
      <c r="BT176" s="336"/>
      <c r="BU176" s="336"/>
      <c r="BV176" s="336"/>
      <c r="BW176" s="336"/>
      <c r="BX176" s="336"/>
      <c r="BY176" s="336"/>
      <c r="BZ176" s="336"/>
      <c r="CA176" s="336"/>
      <c r="CB176" s="336"/>
      <c r="CC176" s="336"/>
      <c r="CD176" s="336"/>
      <c r="CE176" s="336"/>
      <c r="CF176" s="336"/>
      <c r="CG176" s="336"/>
      <c r="CH176" s="336"/>
      <c r="CI176" s="336"/>
      <c r="CJ176" s="336"/>
      <c r="CK176" s="336"/>
      <c r="CL176" s="336"/>
      <c r="CM176" s="336"/>
      <c r="CN176" s="336"/>
      <c r="CO176" s="336"/>
      <c r="CP176" s="336"/>
      <c r="CQ176" s="336"/>
      <c r="CR176" s="336"/>
      <c r="CS176" s="336"/>
      <c r="CT176" s="336"/>
      <c r="CU176" s="336"/>
      <c r="CV176" s="336"/>
      <c r="CW176" s="336"/>
      <c r="CX176" s="336"/>
      <c r="CY176" s="336"/>
      <c r="CZ176" s="336"/>
      <c r="DA176" s="336"/>
      <c r="DB176" s="336"/>
      <c r="DC176" s="336"/>
      <c r="DD176" s="336"/>
      <c r="DE176" s="336"/>
      <c r="DF176" s="336"/>
      <c r="DG176" s="336"/>
      <c r="DH176" s="336"/>
      <c r="DI176" s="336"/>
      <c r="DJ176" s="336"/>
      <c r="DK176" s="336"/>
      <c r="DL176" s="336"/>
      <c r="DM176" s="336"/>
      <c r="DN176" s="336"/>
      <c r="DO176" s="336"/>
      <c r="DP176" s="336"/>
      <c r="DQ176" s="336"/>
      <c r="DR176" s="336"/>
      <c r="DS176" s="336"/>
      <c r="DT176" s="336"/>
      <c r="DU176" s="336"/>
      <c r="DV176" s="336"/>
      <c r="DW176" s="336"/>
      <c r="DX176" s="336"/>
      <c r="DY176" s="336"/>
      <c r="DZ176" s="336"/>
      <c r="EA176" s="336"/>
      <c r="EB176" s="336"/>
      <c r="EC176" s="336"/>
      <c r="ED176" s="336"/>
      <c r="EE176" s="336"/>
      <c r="EF176" s="336"/>
      <c r="EG176" s="336"/>
      <c r="EH176" s="336"/>
      <c r="EI176" s="336"/>
      <c r="EJ176" s="336"/>
      <c r="EK176" s="336"/>
      <c r="EL176" s="336"/>
      <c r="EM176" s="336"/>
      <c r="EN176" s="336"/>
      <c r="EO176" s="336"/>
      <c r="EP176" s="336"/>
      <c r="EQ176" s="336"/>
      <c r="ER176" s="336"/>
      <c r="ES176" s="336"/>
      <c r="ET176" s="336"/>
      <c r="EU176" s="336"/>
      <c r="EV176" s="336"/>
      <c r="EW176" s="336"/>
      <c r="EX176" s="336"/>
      <c r="EY176" s="336"/>
      <c r="EZ176" s="336"/>
      <c r="FA176" s="336"/>
      <c r="FB176" s="336"/>
      <c r="FC176" s="336"/>
      <c r="FD176" s="336"/>
      <c r="FE176" s="336"/>
      <c r="FF176" s="336"/>
      <c r="FG176" s="336"/>
      <c r="FH176" s="336"/>
      <c r="FI176" s="336"/>
      <c r="FJ176" s="336"/>
      <c r="FK176" s="336"/>
      <c r="FL176" s="336"/>
      <c r="FM176" s="336"/>
      <c r="FN176" s="336"/>
      <c r="FO176" s="336"/>
      <c r="FP176" s="336"/>
      <c r="FQ176" s="336"/>
      <c r="FR176" s="336"/>
      <c r="FS176" s="336"/>
      <c r="FT176" s="336"/>
      <c r="FU176" s="336"/>
      <c r="FV176" s="336"/>
      <c r="FW176" s="336"/>
      <c r="FX176" s="336"/>
      <c r="FY176" s="336"/>
      <c r="FZ176" s="336"/>
      <c r="GA176" s="336"/>
      <c r="GB176" s="336"/>
      <c r="GC176" s="336"/>
      <c r="GD176" s="336"/>
      <c r="GE176" s="336"/>
      <c r="GF176" s="336"/>
      <c r="GG176" s="336"/>
      <c r="GH176" s="336"/>
      <c r="GI176" s="336"/>
      <c r="GJ176" s="336"/>
      <c r="GK176" s="336"/>
    </row>
    <row r="177" spans="1:193" s="117" customFormat="1" x14ac:dyDescent="0.15">
      <c r="A177" s="147" t="s">
        <v>95</v>
      </c>
      <c r="B177" s="384">
        <f>B13+B45+B121+B147+B155+B163+B171</f>
        <v>60.54999999999999</v>
      </c>
      <c r="C177" s="140">
        <f>D177/1000</f>
        <v>43307.61479</v>
      </c>
      <c r="D177" s="292">
        <f>D163+D155+D147+D121+D45+D13+D171</f>
        <v>43307614.789999999</v>
      </c>
      <c r="E177" s="289">
        <f>E171+E163+E155+E147+E121+E45+E13+E174+E175</f>
        <v>25835539.850000001</v>
      </c>
      <c r="F177" s="301">
        <f>K177/2</f>
        <v>41995.042999999998</v>
      </c>
      <c r="G177" s="258">
        <f t="shared" si="79"/>
        <v>20997521.5</v>
      </c>
      <c r="H177" s="246">
        <f>H171+H163+H155+H147+H13+H45+H121</f>
        <v>36268086</v>
      </c>
      <c r="I177" s="246">
        <f>I171+I163+I155+I147+I13+I45+I121</f>
        <v>47722000</v>
      </c>
      <c r="J177" s="305">
        <f>J171+J163+J155+J147+J121+J45+J13</f>
        <v>83938.666999999987</v>
      </c>
      <c r="K177" s="41">
        <f t="shared" si="47"/>
        <v>83990.085999999996</v>
      </c>
      <c r="L177" s="191">
        <f>L171+L163+L155+L147+L121+L45+L13+L174</f>
        <v>83990086</v>
      </c>
      <c r="M177" s="195">
        <f>T177/1000*-1</f>
        <v>-39266.052669999997</v>
      </c>
      <c r="N177" s="158">
        <f>N171+N163+N155+N147+N121+N45</f>
        <v>0</v>
      </c>
      <c r="O177" s="405">
        <f>R177/2</f>
        <v>-39735</v>
      </c>
      <c r="P177" s="406">
        <f t="shared" si="86"/>
        <v>59602500</v>
      </c>
      <c r="Q177" s="309">
        <f>Q171+Q163+Q155+Q147+Q121+Q45+Q13</f>
        <v>-80599.198999999993</v>
      </c>
      <c r="R177" s="41">
        <f>S177/1000*-1</f>
        <v>-79470</v>
      </c>
      <c r="S177" s="221">
        <f>S174+S171+S163+S155+S147+S121+S45+S13</f>
        <v>79470000</v>
      </c>
      <c r="T177" s="267">
        <f>T171+T163+T155+T147+T121+T45+T13</f>
        <v>39266052.669999994</v>
      </c>
      <c r="U177" s="211">
        <f>U171+U163+U155+U147+U121+U45+U13</f>
        <v>17472074.940000005</v>
      </c>
      <c r="V177" s="33">
        <f>C177+M177</f>
        <v>4041.5621200000023</v>
      </c>
      <c r="W177" s="33">
        <f>F177+O177</f>
        <v>2260.0429999999978</v>
      </c>
      <c r="X177" s="306">
        <f>X171+X163+X155+X147+X121+X45+X13</f>
        <v>3339.468000000008</v>
      </c>
      <c r="Y177" s="41">
        <f>K177+R177</f>
        <v>4520.0859999999957</v>
      </c>
      <c r="Z177" s="348"/>
      <c r="AA177" s="174"/>
      <c r="AB177" s="252"/>
      <c r="AC177" s="336"/>
      <c r="AD177" s="252"/>
      <c r="AE177" s="336"/>
      <c r="AF177" s="336"/>
      <c r="AG177" s="336"/>
      <c r="AH177" s="336"/>
      <c r="AI177" s="336"/>
      <c r="AJ177" s="336"/>
      <c r="AK177" s="336"/>
      <c r="AL177" s="336"/>
      <c r="AM177" s="336"/>
      <c r="AN177" s="336"/>
      <c r="AO177" s="336"/>
      <c r="AP177" s="336"/>
      <c r="AQ177" s="336"/>
      <c r="AR177" s="336"/>
      <c r="AS177" s="336"/>
      <c r="AT177" s="336"/>
      <c r="AU177" s="336"/>
      <c r="AV177" s="336"/>
      <c r="AW177" s="336"/>
      <c r="AX177" s="336"/>
      <c r="AY177" s="336"/>
      <c r="AZ177" s="336"/>
      <c r="BA177" s="336"/>
      <c r="BB177" s="336"/>
      <c r="BC177" s="336"/>
      <c r="BD177" s="336"/>
      <c r="BE177" s="336"/>
      <c r="BF177" s="336"/>
      <c r="BG177" s="336"/>
      <c r="BH177" s="336"/>
      <c r="BI177" s="336"/>
      <c r="BJ177" s="336"/>
      <c r="BK177" s="336"/>
      <c r="BL177" s="336"/>
      <c r="BM177" s="336"/>
      <c r="BN177" s="336"/>
      <c r="BO177" s="336"/>
      <c r="BP177" s="336"/>
      <c r="BQ177" s="336"/>
      <c r="BR177" s="336"/>
      <c r="BS177" s="336"/>
      <c r="BT177" s="336"/>
      <c r="BU177" s="336"/>
      <c r="BV177" s="336"/>
      <c r="BW177" s="336"/>
      <c r="BX177" s="336"/>
      <c r="BY177" s="336"/>
      <c r="BZ177" s="336"/>
      <c r="CA177" s="336"/>
      <c r="CB177" s="336"/>
      <c r="CC177" s="336"/>
      <c r="CD177" s="336"/>
      <c r="CE177" s="336"/>
      <c r="CF177" s="336"/>
      <c r="CG177" s="336"/>
      <c r="CH177" s="336"/>
      <c r="CI177" s="336"/>
      <c r="CJ177" s="336"/>
      <c r="CK177" s="336"/>
      <c r="CL177" s="336"/>
      <c r="CM177" s="336"/>
      <c r="CN177" s="336"/>
      <c r="CO177" s="336"/>
      <c r="CP177" s="336"/>
      <c r="CQ177" s="336"/>
      <c r="CR177" s="336"/>
      <c r="CS177" s="336"/>
      <c r="CT177" s="336"/>
      <c r="CU177" s="336"/>
      <c r="CV177" s="336"/>
      <c r="CW177" s="336"/>
      <c r="CX177" s="336"/>
      <c r="CY177" s="336"/>
      <c r="CZ177" s="336"/>
      <c r="DA177" s="336"/>
      <c r="DB177" s="336"/>
      <c r="DC177" s="336"/>
      <c r="DD177" s="336"/>
      <c r="DE177" s="336"/>
      <c r="DF177" s="336"/>
      <c r="DG177" s="336"/>
      <c r="DH177" s="336"/>
      <c r="DI177" s="336"/>
      <c r="DJ177" s="336"/>
      <c r="DK177" s="336"/>
      <c r="DL177" s="336"/>
      <c r="DM177" s="336"/>
      <c r="DN177" s="336"/>
      <c r="DO177" s="336"/>
      <c r="DP177" s="336"/>
      <c r="DQ177" s="336"/>
      <c r="DR177" s="336"/>
      <c r="DS177" s="336"/>
      <c r="DT177" s="336"/>
      <c r="DU177" s="336"/>
      <c r="DV177" s="336"/>
      <c r="DW177" s="336"/>
      <c r="DX177" s="336"/>
      <c r="DY177" s="336"/>
      <c r="DZ177" s="336"/>
      <c r="EA177" s="336"/>
      <c r="EB177" s="336"/>
      <c r="EC177" s="336"/>
      <c r="ED177" s="336"/>
      <c r="EE177" s="336"/>
      <c r="EF177" s="336"/>
      <c r="EG177" s="336"/>
      <c r="EH177" s="336"/>
      <c r="EI177" s="336"/>
      <c r="EJ177" s="336"/>
      <c r="EK177" s="336"/>
      <c r="EL177" s="336"/>
      <c r="EM177" s="336"/>
      <c r="EN177" s="336"/>
      <c r="EO177" s="336"/>
      <c r="EP177" s="336"/>
      <c r="EQ177" s="336"/>
      <c r="ER177" s="336"/>
      <c r="ES177" s="336"/>
      <c r="ET177" s="336"/>
      <c r="EU177" s="336"/>
      <c r="EV177" s="336"/>
      <c r="EW177" s="336"/>
      <c r="EX177" s="336"/>
      <c r="EY177" s="336"/>
      <c r="EZ177" s="336"/>
      <c r="FA177" s="336"/>
      <c r="FB177" s="336"/>
      <c r="FC177" s="336"/>
      <c r="FD177" s="336"/>
      <c r="FE177" s="336"/>
      <c r="FF177" s="336"/>
      <c r="FG177" s="336"/>
      <c r="FH177" s="336"/>
      <c r="FI177" s="336"/>
      <c r="FJ177" s="336"/>
      <c r="FK177" s="336"/>
      <c r="FL177" s="336"/>
      <c r="FM177" s="336"/>
      <c r="FN177" s="336"/>
      <c r="FO177" s="336"/>
      <c r="FP177" s="336"/>
      <c r="FQ177" s="336"/>
      <c r="FR177" s="336"/>
      <c r="FS177" s="336"/>
      <c r="FT177" s="336"/>
      <c r="FU177" s="336"/>
      <c r="FV177" s="336"/>
      <c r="FW177" s="336"/>
      <c r="FX177" s="336"/>
      <c r="FY177" s="336"/>
      <c r="FZ177" s="336"/>
      <c r="GA177" s="336"/>
      <c r="GB177" s="336"/>
      <c r="GC177" s="336"/>
      <c r="GD177" s="336"/>
      <c r="GE177" s="336"/>
      <c r="GF177" s="336"/>
      <c r="GG177" s="336"/>
      <c r="GH177" s="336"/>
      <c r="GI177" s="336"/>
      <c r="GJ177" s="336"/>
      <c r="GK177" s="336"/>
    </row>
    <row r="178" spans="1:193" s="42" customFormat="1" x14ac:dyDescent="0.15">
      <c r="A178" s="349"/>
      <c r="B178" s="157"/>
      <c r="C178" s="140"/>
      <c r="D178" s="292"/>
      <c r="E178" s="289"/>
      <c r="F178" s="304"/>
      <c r="G178" s="258"/>
      <c r="H178" s="246"/>
      <c r="I178" s="246"/>
      <c r="J178" s="305"/>
      <c r="K178" s="41"/>
      <c r="L178" s="191"/>
      <c r="M178" s="195"/>
      <c r="N178" s="158"/>
      <c r="O178" s="405"/>
      <c r="P178" s="406"/>
      <c r="Q178" s="309"/>
      <c r="R178" s="41"/>
      <c r="S178" s="221"/>
      <c r="T178" s="267"/>
      <c r="U178" s="211"/>
      <c r="V178" s="33"/>
      <c r="W178" s="33"/>
      <c r="X178" s="306"/>
      <c r="Y178" s="41"/>
      <c r="AB178" s="252"/>
      <c r="AC178" s="317"/>
      <c r="AD178" s="252"/>
      <c r="AE178" s="317"/>
      <c r="AF178" s="317"/>
      <c r="AG178" s="317"/>
      <c r="AH178" s="317"/>
      <c r="AI178" s="317"/>
      <c r="AJ178" s="317"/>
      <c r="AK178" s="317"/>
      <c r="AL178" s="317"/>
      <c r="AM178" s="317"/>
      <c r="AN178" s="317"/>
      <c r="AO178" s="317"/>
      <c r="AP178" s="317"/>
      <c r="AQ178" s="317"/>
      <c r="AR178" s="317"/>
      <c r="AS178" s="317"/>
      <c r="AT178" s="317"/>
      <c r="AU178" s="317"/>
      <c r="AV178" s="317"/>
      <c r="AW178" s="317"/>
      <c r="AX178" s="317"/>
      <c r="AY178" s="317"/>
      <c r="AZ178" s="317"/>
      <c r="BA178" s="317"/>
      <c r="BB178" s="317"/>
      <c r="BC178" s="317"/>
      <c r="BD178" s="317"/>
      <c r="BE178" s="317"/>
      <c r="BF178" s="317"/>
      <c r="BG178" s="317"/>
      <c r="BH178" s="317"/>
      <c r="BI178" s="317"/>
      <c r="BJ178" s="317"/>
      <c r="BK178" s="317"/>
      <c r="BL178" s="317"/>
      <c r="BM178" s="317"/>
      <c r="BN178" s="317"/>
      <c r="BO178" s="317"/>
      <c r="BP178" s="317"/>
      <c r="BQ178" s="317"/>
      <c r="BR178" s="317"/>
      <c r="BS178" s="317"/>
      <c r="BT178" s="317"/>
      <c r="BU178" s="317"/>
      <c r="BV178" s="317"/>
      <c r="BW178" s="317"/>
      <c r="BX178" s="317"/>
      <c r="BY178" s="317"/>
      <c r="BZ178" s="317"/>
      <c r="CA178" s="317"/>
      <c r="CB178" s="317"/>
      <c r="CC178" s="317"/>
      <c r="CD178" s="317"/>
      <c r="CE178" s="317"/>
      <c r="CF178" s="317"/>
      <c r="CG178" s="317"/>
      <c r="CH178" s="317"/>
      <c r="CI178" s="317"/>
      <c r="CJ178" s="317"/>
      <c r="CK178" s="317"/>
      <c r="CL178" s="317"/>
      <c r="CM178" s="317"/>
      <c r="CN178" s="317"/>
      <c r="CO178" s="317"/>
      <c r="CP178" s="317"/>
      <c r="CQ178" s="317"/>
      <c r="CR178" s="317"/>
      <c r="CS178" s="317"/>
      <c r="CT178" s="317"/>
      <c r="CU178" s="317"/>
      <c r="CV178" s="317"/>
      <c r="CW178" s="317"/>
      <c r="CX178" s="317"/>
      <c r="CY178" s="317"/>
      <c r="CZ178" s="317"/>
      <c r="DA178" s="317"/>
      <c r="DB178" s="317"/>
      <c r="DC178" s="317"/>
      <c r="DD178" s="317"/>
      <c r="DE178" s="317"/>
      <c r="DF178" s="317"/>
      <c r="DG178" s="317"/>
      <c r="DH178" s="317"/>
      <c r="DI178" s="317"/>
      <c r="DJ178" s="317"/>
      <c r="DK178" s="317"/>
      <c r="DL178" s="317"/>
      <c r="DM178" s="317"/>
      <c r="DN178" s="317"/>
      <c r="DO178" s="317"/>
      <c r="DP178" s="317"/>
      <c r="DQ178" s="317"/>
      <c r="DR178" s="317"/>
      <c r="DS178" s="317"/>
      <c r="DT178" s="317"/>
      <c r="DU178" s="317"/>
      <c r="DV178" s="317"/>
      <c r="DW178" s="317"/>
      <c r="DX178" s="317"/>
      <c r="DY178" s="317"/>
      <c r="DZ178" s="317"/>
      <c r="EA178" s="317"/>
      <c r="EB178" s="317"/>
      <c r="EC178" s="317"/>
      <c r="ED178" s="317"/>
      <c r="EE178" s="317"/>
      <c r="EF178" s="317"/>
      <c r="EG178" s="317"/>
      <c r="EH178" s="317"/>
      <c r="EI178" s="317"/>
      <c r="EJ178" s="317"/>
      <c r="EK178" s="317"/>
      <c r="EL178" s="317"/>
      <c r="EM178" s="317"/>
      <c r="EN178" s="317"/>
      <c r="EO178" s="317"/>
      <c r="EP178" s="317"/>
      <c r="EQ178" s="317"/>
      <c r="ER178" s="317"/>
      <c r="ES178" s="317"/>
      <c r="ET178" s="317"/>
      <c r="EU178" s="317"/>
      <c r="EV178" s="317"/>
      <c r="EW178" s="317"/>
      <c r="EX178" s="317"/>
      <c r="EY178" s="317"/>
      <c r="EZ178" s="317"/>
      <c r="FA178" s="317"/>
      <c r="FB178" s="317"/>
      <c r="FC178" s="317"/>
      <c r="FD178" s="317"/>
      <c r="FE178" s="317"/>
      <c r="FF178" s="317"/>
      <c r="FG178" s="317"/>
      <c r="FH178" s="317"/>
      <c r="FI178" s="317"/>
      <c r="FJ178" s="317"/>
      <c r="FK178" s="317"/>
      <c r="FL178" s="317"/>
      <c r="FM178" s="317"/>
      <c r="FN178" s="317"/>
      <c r="FO178" s="317"/>
      <c r="FP178" s="317"/>
      <c r="FQ178" s="317"/>
      <c r="FR178" s="317"/>
      <c r="FS178" s="317"/>
      <c r="FT178" s="317"/>
      <c r="FU178" s="317"/>
      <c r="FV178" s="317"/>
      <c r="FW178" s="317"/>
      <c r="FX178" s="317"/>
      <c r="FY178" s="317"/>
      <c r="FZ178" s="317"/>
      <c r="GA178" s="317"/>
      <c r="GB178" s="317"/>
      <c r="GC178" s="317"/>
      <c r="GD178" s="317"/>
      <c r="GE178" s="317"/>
      <c r="GF178" s="317"/>
      <c r="GG178" s="317"/>
      <c r="GH178" s="317"/>
      <c r="GI178" s="317"/>
      <c r="GJ178" s="317"/>
      <c r="GK178" s="317"/>
    </row>
    <row r="179" spans="1:193" s="42" customFormat="1" x14ac:dyDescent="0.15">
      <c r="A179" s="318" t="s">
        <v>352</v>
      </c>
      <c r="B179" s="294"/>
      <c r="C179" s="297">
        <f>C180</f>
        <v>199.24645000000001</v>
      </c>
      <c r="D179" s="297">
        <f t="shared" ref="D179:Y179" si="91">D180</f>
        <v>199246.45</v>
      </c>
      <c r="E179" s="297">
        <f t="shared" si="91"/>
        <v>199246.45</v>
      </c>
      <c r="F179" s="297">
        <f t="shared" si="91"/>
        <v>0</v>
      </c>
      <c r="G179" s="297">
        <f t="shared" si="79"/>
        <v>0</v>
      </c>
      <c r="H179" s="326"/>
      <c r="I179" s="326"/>
      <c r="J179" s="297">
        <f>C179</f>
        <v>199.24645000000001</v>
      </c>
      <c r="K179" s="297">
        <f t="shared" si="91"/>
        <v>0</v>
      </c>
      <c r="L179" s="294">
        <f t="shared" si="91"/>
        <v>0</v>
      </c>
      <c r="M179" s="297">
        <f t="shared" si="91"/>
        <v>-199.24645000000001</v>
      </c>
      <c r="N179" s="294">
        <f t="shared" si="91"/>
        <v>0</v>
      </c>
      <c r="O179" s="404">
        <f t="shared" si="64"/>
        <v>0</v>
      </c>
      <c r="P179" s="410">
        <f t="shared" si="91"/>
        <v>0</v>
      </c>
      <c r="Q179" s="404">
        <f>M179</f>
        <v>-199.24645000000001</v>
      </c>
      <c r="R179" s="191">
        <f t="shared" ref="R179:R180" si="92">S179/1000*-1</f>
        <v>0</v>
      </c>
      <c r="S179" s="297">
        <f t="shared" si="91"/>
        <v>0</v>
      </c>
      <c r="T179" s="297">
        <f t="shared" si="91"/>
        <v>199246.45</v>
      </c>
      <c r="U179" s="297">
        <f t="shared" si="91"/>
        <v>0</v>
      </c>
      <c r="V179" s="297">
        <f t="shared" si="91"/>
        <v>0</v>
      </c>
      <c r="W179" s="297">
        <f t="shared" si="91"/>
        <v>0</v>
      </c>
      <c r="X179" s="297">
        <f t="shared" si="91"/>
        <v>0</v>
      </c>
      <c r="Y179" s="297">
        <f t="shared" si="91"/>
        <v>0</v>
      </c>
      <c r="AB179" s="252"/>
      <c r="AD179" s="252"/>
    </row>
    <row r="180" spans="1:193" x14ac:dyDescent="0.15">
      <c r="A180" s="152" t="s">
        <v>433</v>
      </c>
      <c r="B180" s="293"/>
      <c r="C180" s="284">
        <f>D180/1000</f>
        <v>199.24645000000001</v>
      </c>
      <c r="D180" s="284">
        <f>E180</f>
        <v>199246.45</v>
      </c>
      <c r="E180" s="284">
        <v>199246.45</v>
      </c>
      <c r="F180" s="284">
        <f t="shared" ref="F180" si="93">G180/1000</f>
        <v>0</v>
      </c>
      <c r="G180" s="325">
        <f t="shared" si="79"/>
        <v>0</v>
      </c>
      <c r="H180" s="327"/>
      <c r="I180" s="326">
        <f t="shared" ref="I180" si="94">L180</f>
        <v>0</v>
      </c>
      <c r="J180" s="328">
        <f>C180</f>
        <v>199.24645000000001</v>
      </c>
      <c r="K180" s="329">
        <v>0</v>
      </c>
      <c r="L180" s="330"/>
      <c r="M180" s="331">
        <f>T180/1000*-1</f>
        <v>-199.24645000000001</v>
      </c>
      <c r="N180" s="296"/>
      <c r="O180" s="405">
        <f t="shared" si="64"/>
        <v>0</v>
      </c>
      <c r="P180" s="411"/>
      <c r="Q180" s="309">
        <f>M180</f>
        <v>-199.24645000000001</v>
      </c>
      <c r="R180" s="41">
        <f t="shared" si="92"/>
        <v>0</v>
      </c>
      <c r="S180" s="333"/>
      <c r="T180" s="266">
        <v>199246.45</v>
      </c>
      <c r="U180" s="333"/>
      <c r="V180" s="329">
        <f>C180+M180</f>
        <v>0</v>
      </c>
      <c r="W180" s="329">
        <v>0</v>
      </c>
      <c r="X180" s="332">
        <v>0</v>
      </c>
      <c r="Y180" s="329">
        <v>0</v>
      </c>
      <c r="AB180" s="252"/>
      <c r="AD180" s="252"/>
    </row>
    <row r="181" spans="1:193" s="42" customFormat="1" x14ac:dyDescent="0.15">
      <c r="A181" s="147" t="s">
        <v>95</v>
      </c>
      <c r="B181" s="149">
        <f>B177</f>
        <v>60.54999999999999</v>
      </c>
      <c r="C181" s="281">
        <f>C177+C180</f>
        <v>43506.861239999998</v>
      </c>
      <c r="D181" s="281">
        <f>D177+D180</f>
        <v>43506861.240000002</v>
      </c>
      <c r="E181" s="281">
        <f>E177+E180</f>
        <v>26034786.300000001</v>
      </c>
      <c r="F181" s="301">
        <f>K181/2</f>
        <v>41995.042999999998</v>
      </c>
      <c r="G181" s="281">
        <f t="shared" ref="G181:Y181" si="95">G177+G180</f>
        <v>20997521.5</v>
      </c>
      <c r="H181" s="281">
        <f>H177+H180</f>
        <v>36268086</v>
      </c>
      <c r="I181" s="281">
        <f>I177+I180</f>
        <v>47722000</v>
      </c>
      <c r="J181" s="305">
        <f>J177+J179</f>
        <v>84137.913449999993</v>
      </c>
      <c r="K181" s="311">
        <f t="shared" si="95"/>
        <v>83990.085999999996</v>
      </c>
      <c r="L181" s="281">
        <f t="shared" si="95"/>
        <v>83990086</v>
      </c>
      <c r="M181" s="41">
        <f t="shared" si="95"/>
        <v>-39465.299119999996</v>
      </c>
      <c r="N181" s="281">
        <f t="shared" si="95"/>
        <v>0</v>
      </c>
      <c r="O181" s="405">
        <f>R181/2</f>
        <v>-39735</v>
      </c>
      <c r="P181" s="249">
        <f t="shared" si="95"/>
        <v>59602500</v>
      </c>
      <c r="Q181" s="309">
        <f>Q177+Q180</f>
        <v>-80798.445449999999</v>
      </c>
      <c r="R181" s="41">
        <f t="shared" si="95"/>
        <v>-79470</v>
      </c>
      <c r="S181" s="41">
        <f t="shared" si="95"/>
        <v>79470000</v>
      </c>
      <c r="T181" s="41">
        <f>T177+T180</f>
        <v>39465299.119999997</v>
      </c>
      <c r="U181" s="41">
        <f t="shared" si="95"/>
        <v>17472074.940000005</v>
      </c>
      <c r="V181" s="41">
        <f t="shared" si="95"/>
        <v>4041.5621200000023</v>
      </c>
      <c r="W181" s="41">
        <f t="shared" si="95"/>
        <v>2260.0429999999978</v>
      </c>
      <c r="X181" s="306">
        <f>X177+X179</f>
        <v>3339.468000000008</v>
      </c>
      <c r="Y181" s="41">
        <f t="shared" si="95"/>
        <v>4520.0859999999957</v>
      </c>
      <c r="AD181" s="252"/>
    </row>
    <row r="182" spans="1:193" hidden="1" x14ac:dyDescent="0.15">
      <c r="A182" s="369"/>
      <c r="B182" s="370"/>
      <c r="C182" s="371"/>
      <c r="D182" s="371"/>
      <c r="E182" s="371"/>
      <c r="F182" s="371"/>
      <c r="G182" s="371"/>
      <c r="H182" s="371"/>
      <c r="I182" s="371"/>
      <c r="J182" s="372"/>
      <c r="K182" s="373"/>
      <c r="L182" s="371"/>
      <c r="M182" s="374"/>
      <c r="N182" s="371"/>
      <c r="O182" s="404">
        <f t="shared" si="64"/>
        <v>0</v>
      </c>
      <c r="P182" s="412"/>
      <c r="Q182" s="404">
        <f t="shared" si="65"/>
        <v>0</v>
      </c>
      <c r="R182" s="374"/>
      <c r="S182" s="374"/>
      <c r="T182" s="374"/>
      <c r="U182" s="374"/>
      <c r="V182" s="374"/>
      <c r="W182" s="374"/>
      <c r="X182" s="375"/>
      <c r="Y182" s="374"/>
      <c r="Z182" s="367"/>
      <c r="AA182" s="367"/>
      <c r="AB182" s="367"/>
      <c r="AC182" s="367"/>
      <c r="AD182" s="252"/>
    </row>
    <row r="183" spans="1:193" hidden="1" x14ac:dyDescent="0.15">
      <c r="A183" s="356" t="s">
        <v>356</v>
      </c>
      <c r="B183" s="357"/>
      <c r="C183" s="358"/>
      <c r="D183" s="359"/>
      <c r="E183" s="360"/>
      <c r="F183" s="360"/>
      <c r="G183" s="360"/>
      <c r="H183" s="360"/>
      <c r="I183" s="360"/>
      <c r="J183" s="361"/>
      <c r="K183" s="360"/>
      <c r="L183" s="360"/>
      <c r="M183" s="362"/>
      <c r="N183" s="360"/>
      <c r="O183" s="404">
        <f t="shared" si="64"/>
        <v>0</v>
      </c>
      <c r="P183" s="413"/>
      <c r="Q183" s="404">
        <f t="shared" si="65"/>
        <v>0</v>
      </c>
      <c r="R183" s="360"/>
      <c r="S183" s="360"/>
      <c r="T183" s="360"/>
      <c r="U183" s="363"/>
      <c r="V183" s="360"/>
      <c r="W183" s="364"/>
      <c r="X183" s="365"/>
      <c r="Y183" s="366"/>
      <c r="Z183" s="367"/>
      <c r="AA183" s="367"/>
      <c r="AB183" s="367"/>
      <c r="AC183" s="367"/>
      <c r="AD183" s="252"/>
    </row>
    <row r="184" spans="1:193" hidden="1" x14ac:dyDescent="0.15">
      <c r="A184" s="152"/>
      <c r="B184" s="354"/>
      <c r="C184" s="355"/>
      <c r="D184" s="350"/>
      <c r="E184" s="351"/>
      <c r="F184" s="351"/>
      <c r="G184" s="351"/>
      <c r="H184" s="351"/>
      <c r="I184" s="351"/>
      <c r="J184" s="352"/>
      <c r="K184" s="351"/>
      <c r="L184" s="351"/>
      <c r="M184" s="351"/>
      <c r="N184" s="351"/>
      <c r="O184" s="404">
        <f t="shared" si="64"/>
        <v>0</v>
      </c>
      <c r="P184" s="414"/>
      <c r="Q184" s="404">
        <f t="shared" si="65"/>
        <v>0</v>
      </c>
      <c r="R184" s="351"/>
      <c r="S184" s="351"/>
      <c r="T184" s="351"/>
      <c r="U184" s="353"/>
      <c r="V184" s="351"/>
      <c r="W184" s="48"/>
      <c r="X184" s="230"/>
      <c r="Y184" s="147">
        <v>375</v>
      </c>
      <c r="Z184" s="367"/>
      <c r="AA184" s="367"/>
      <c r="AB184" s="367"/>
      <c r="AC184" s="367"/>
      <c r="AD184" s="252"/>
    </row>
    <row r="185" spans="1:193" hidden="1" x14ac:dyDescent="0.15">
      <c r="A185" s="442"/>
      <c r="B185" s="443"/>
      <c r="C185" s="443"/>
      <c r="D185" s="443"/>
      <c r="E185" s="443"/>
      <c r="F185" s="443"/>
      <c r="G185" s="443"/>
      <c r="H185" s="443"/>
      <c r="I185" s="443"/>
      <c r="J185" s="444"/>
      <c r="K185" s="351"/>
      <c r="L185" s="351"/>
      <c r="M185" s="351"/>
      <c r="N185" s="351"/>
      <c r="O185" s="404">
        <f t="shared" si="64"/>
        <v>0</v>
      </c>
      <c r="P185" s="414"/>
      <c r="Q185" s="404">
        <f t="shared" si="65"/>
        <v>0</v>
      </c>
      <c r="R185" s="351"/>
      <c r="S185" s="351"/>
      <c r="T185" s="351"/>
      <c r="U185" s="353"/>
      <c r="V185" s="351"/>
      <c r="W185" s="48"/>
      <c r="X185" s="230"/>
      <c r="Y185" s="147">
        <v>250</v>
      </c>
      <c r="AD185" s="252"/>
    </row>
    <row r="186" spans="1:193" hidden="1" x14ac:dyDescent="0.15">
      <c r="A186" s="147" t="s">
        <v>95</v>
      </c>
      <c r="B186" s="354"/>
      <c r="C186" s="355"/>
      <c r="D186" s="350"/>
      <c r="E186" s="351"/>
      <c r="F186" s="351"/>
      <c r="G186" s="351"/>
      <c r="H186" s="351"/>
      <c r="I186" s="351"/>
      <c r="J186" s="352"/>
      <c r="K186" s="351"/>
      <c r="L186" s="351"/>
      <c r="M186" s="351"/>
      <c r="N186" s="351"/>
      <c r="O186" s="404">
        <f t="shared" si="64"/>
        <v>0</v>
      </c>
      <c r="P186" s="414"/>
      <c r="Q186" s="404">
        <f t="shared" si="65"/>
        <v>0</v>
      </c>
      <c r="R186" s="368"/>
      <c r="S186" s="351"/>
      <c r="T186" s="351"/>
      <c r="U186" s="353"/>
      <c r="V186" s="351"/>
      <c r="W186" s="48"/>
      <c r="X186" s="231">
        <f>X181</f>
        <v>3339.468000000008</v>
      </c>
      <c r="Y186" s="33">
        <f>Y181+Y184+Y185</f>
        <v>5145.0859999999957</v>
      </c>
      <c r="AD186" s="252"/>
    </row>
    <row r="187" spans="1:193" hidden="1" x14ac:dyDescent="0.15">
      <c r="D187" s="339"/>
      <c r="E187" s="192"/>
      <c r="H187" s="192"/>
      <c r="I187" s="192"/>
      <c r="J187" s="298"/>
      <c r="K187" s="192"/>
      <c r="L187" s="192"/>
      <c r="N187" s="192"/>
      <c r="O187" s="415">
        <f t="shared" si="64"/>
        <v>0</v>
      </c>
      <c r="Q187" s="415">
        <f t="shared" si="65"/>
        <v>0</v>
      </c>
      <c r="R187" s="192"/>
      <c r="S187" s="192"/>
      <c r="T187" s="192"/>
      <c r="U187" s="340"/>
      <c r="V187" s="192"/>
      <c r="X187" s="238"/>
      <c r="AD187" s="252"/>
    </row>
    <row r="188" spans="1:193" x14ac:dyDescent="0.15">
      <c r="D188" s="339"/>
      <c r="E188" s="192"/>
      <c r="H188" s="192"/>
      <c r="I188" s="192"/>
      <c r="J188" s="298"/>
      <c r="K188" s="192"/>
      <c r="L188" s="192"/>
      <c r="N188" s="192"/>
      <c r="O188" s="416"/>
      <c r="P188" s="417"/>
      <c r="Q188" s="416"/>
      <c r="R188" s="192"/>
      <c r="S188" s="192"/>
      <c r="T188" s="192"/>
      <c r="U188" s="340"/>
      <c r="V188" s="192"/>
      <c r="X188" s="238"/>
      <c r="AD188" s="252"/>
    </row>
    <row r="189" spans="1:193" x14ac:dyDescent="0.15">
      <c r="D189" s="339"/>
      <c r="E189" s="192"/>
      <c r="H189" s="192"/>
      <c r="I189" s="192"/>
      <c r="J189" s="298"/>
      <c r="K189" s="192"/>
      <c r="L189" s="192"/>
      <c r="N189" s="192"/>
      <c r="O189" s="416"/>
      <c r="P189" s="417"/>
      <c r="Q189" s="416"/>
      <c r="R189" s="192"/>
      <c r="S189" s="192"/>
      <c r="T189" s="192"/>
      <c r="U189" s="340"/>
      <c r="V189" s="192"/>
      <c r="X189" s="238"/>
      <c r="AD189" s="252"/>
    </row>
    <row r="190" spans="1:193" x14ac:dyDescent="0.15">
      <c r="A190" s="118" t="s">
        <v>439</v>
      </c>
      <c r="D190" s="339"/>
      <c r="E190" s="192"/>
      <c r="H190" s="192"/>
      <c r="I190" s="192"/>
      <c r="J190" s="298"/>
      <c r="K190" s="192"/>
      <c r="L190" s="192"/>
      <c r="M190" s="226"/>
      <c r="N190" s="226"/>
      <c r="O190" s="416"/>
      <c r="P190" s="417"/>
      <c r="Q190" s="416"/>
      <c r="R190" s="192"/>
      <c r="S190" s="192"/>
      <c r="T190" s="192"/>
      <c r="U190" s="340"/>
      <c r="V190" s="192"/>
      <c r="X190" s="238"/>
      <c r="AD190" s="252"/>
    </row>
    <row r="191" spans="1:193" x14ac:dyDescent="0.15">
      <c r="A191" s="147" t="s">
        <v>436</v>
      </c>
      <c r="B191" s="149">
        <v>59.55</v>
      </c>
      <c r="C191" s="281"/>
      <c r="D191" s="281">
        <f t="shared" ref="D191:U191" si="96">D186+D190</f>
        <v>0</v>
      </c>
      <c r="E191" s="281">
        <f>E186+E190</f>
        <v>0</v>
      </c>
      <c r="F191" s="281"/>
      <c r="G191" s="281">
        <f t="shared" si="96"/>
        <v>0</v>
      </c>
      <c r="H191" s="281">
        <f>H186+H190</f>
        <v>0</v>
      </c>
      <c r="I191" s="281">
        <f>I186+I190</f>
        <v>0</v>
      </c>
      <c r="J191" s="301"/>
      <c r="K191" s="311">
        <v>83418</v>
      </c>
      <c r="L191" s="281">
        <f t="shared" si="96"/>
        <v>0</v>
      </c>
      <c r="M191" s="41"/>
      <c r="N191" s="281">
        <f t="shared" si="96"/>
        <v>0</v>
      </c>
      <c r="O191" s="405"/>
      <c r="P191" s="249">
        <f t="shared" si="96"/>
        <v>0</v>
      </c>
      <c r="Q191" s="405"/>
      <c r="R191" s="41">
        <v>-79470</v>
      </c>
      <c r="S191" s="41">
        <f t="shared" si="96"/>
        <v>0</v>
      </c>
      <c r="T191" s="41">
        <f>T186+T190</f>
        <v>0</v>
      </c>
      <c r="U191" s="41">
        <f t="shared" si="96"/>
        <v>0</v>
      </c>
      <c r="V191" s="41"/>
      <c r="W191" s="41"/>
      <c r="X191" s="195"/>
      <c r="Y191" s="41">
        <v>3948</v>
      </c>
      <c r="AD191" s="252"/>
    </row>
    <row r="192" spans="1:193" x14ac:dyDescent="0.15">
      <c r="A192" s="356" t="s">
        <v>356</v>
      </c>
      <c r="B192" s="393">
        <v>1</v>
      </c>
      <c r="C192" s="358"/>
      <c r="D192" s="359"/>
      <c r="E192" s="360"/>
      <c r="F192" s="360"/>
      <c r="G192" s="360"/>
      <c r="H192" s="360"/>
      <c r="I192" s="360"/>
      <c r="J192" s="361"/>
      <c r="K192" s="220"/>
      <c r="L192" s="220"/>
      <c r="M192" s="220"/>
      <c r="N192" s="220"/>
      <c r="O192" s="404"/>
      <c r="P192" s="418"/>
      <c r="Q192" s="404"/>
      <c r="R192" s="220"/>
      <c r="S192" s="220"/>
      <c r="T192" s="220"/>
      <c r="U192" s="379"/>
      <c r="V192" s="220"/>
      <c r="W192" s="220"/>
      <c r="X192" s="200"/>
      <c r="Y192" s="380"/>
      <c r="AD192" s="252"/>
    </row>
    <row r="193" spans="1:30" x14ac:dyDescent="0.15">
      <c r="A193" s="152" t="s">
        <v>438</v>
      </c>
      <c r="B193" s="394">
        <v>1</v>
      </c>
      <c r="C193" s="355"/>
      <c r="D193" s="350"/>
      <c r="E193" s="351"/>
      <c r="F193" s="351"/>
      <c r="G193" s="351"/>
      <c r="H193" s="351"/>
      <c r="I193" s="351"/>
      <c r="J193" s="352"/>
      <c r="K193" s="247">
        <f>571975/1000</f>
        <v>571.97500000000002</v>
      </c>
      <c r="L193" s="351"/>
      <c r="M193" s="351"/>
      <c r="N193" s="351"/>
      <c r="O193" s="405"/>
      <c r="P193" s="414"/>
      <c r="Q193" s="405"/>
      <c r="R193" s="391">
        <v>0</v>
      </c>
      <c r="S193" s="351"/>
      <c r="T193" s="351"/>
      <c r="U193" s="353"/>
      <c r="V193" s="351"/>
      <c r="W193" s="48"/>
      <c r="X193" s="194"/>
      <c r="Y193" s="33">
        <f>K193</f>
        <v>571.97500000000002</v>
      </c>
      <c r="AD193" s="252"/>
    </row>
    <row r="194" spans="1:30" hidden="1" x14ac:dyDescent="0.15">
      <c r="A194" s="442" t="s">
        <v>357</v>
      </c>
      <c r="B194" s="443"/>
      <c r="C194" s="443"/>
      <c r="D194" s="443"/>
      <c r="E194" s="443"/>
      <c r="F194" s="443"/>
      <c r="G194" s="443"/>
      <c r="H194" s="443"/>
      <c r="I194" s="443"/>
      <c r="J194" s="444"/>
      <c r="K194" s="351"/>
      <c r="L194" s="351"/>
      <c r="M194" s="351"/>
      <c r="N194" s="351"/>
      <c r="O194" s="405">
        <f t="shared" si="64"/>
        <v>0</v>
      </c>
      <c r="P194" s="414"/>
      <c r="Q194" s="405">
        <f t="shared" si="65"/>
        <v>0</v>
      </c>
      <c r="R194" s="351"/>
      <c r="S194" s="351"/>
      <c r="T194" s="351"/>
      <c r="U194" s="353"/>
      <c r="V194" s="351"/>
      <c r="W194" s="48"/>
      <c r="X194" s="194"/>
      <c r="Y194" s="378"/>
      <c r="AD194" s="252"/>
    </row>
    <row r="195" spans="1:30" x14ac:dyDescent="0.15">
      <c r="A195" s="147" t="s">
        <v>437</v>
      </c>
      <c r="B195" s="125">
        <v>60.55</v>
      </c>
      <c r="C195" s="381"/>
      <c r="D195" s="195"/>
      <c r="E195" s="247"/>
      <c r="F195" s="247"/>
      <c r="G195" s="247"/>
      <c r="H195" s="247"/>
      <c r="I195" s="247"/>
      <c r="J195" s="382"/>
      <c r="K195" s="247">
        <f>83418+572</f>
        <v>83990</v>
      </c>
      <c r="L195" s="247"/>
      <c r="M195" s="247"/>
      <c r="N195" s="247"/>
      <c r="O195" s="405"/>
      <c r="P195" s="419"/>
      <c r="Q195" s="405"/>
      <c r="R195" s="247">
        <v>-79470</v>
      </c>
      <c r="S195" s="247"/>
      <c r="T195" s="247"/>
      <c r="U195" s="383"/>
      <c r="V195" s="247"/>
      <c r="W195" s="48"/>
      <c r="X195" s="194"/>
      <c r="Y195" s="33">
        <f>Y191+Y193</f>
        <v>4519.9750000000004</v>
      </c>
      <c r="AD195" s="252"/>
    </row>
    <row r="196" spans="1:30" x14ac:dyDescent="0.15">
      <c r="D196" s="339"/>
      <c r="E196" s="192"/>
      <c r="H196" s="192"/>
      <c r="I196" s="192"/>
      <c r="J196" s="298"/>
      <c r="K196" s="192"/>
      <c r="L196" s="192"/>
      <c r="N196" s="192"/>
      <c r="O196" s="396"/>
      <c r="Q196" s="396"/>
      <c r="R196" s="192"/>
      <c r="S196" s="192"/>
      <c r="T196" s="192"/>
      <c r="U196" s="340"/>
      <c r="V196" s="192"/>
      <c r="X196" s="238"/>
      <c r="AD196" s="252"/>
    </row>
    <row r="197" spans="1:30" x14ac:dyDescent="0.15">
      <c r="D197" s="339"/>
      <c r="E197" s="192"/>
      <c r="H197" s="192"/>
      <c r="I197" s="192"/>
      <c r="J197" s="298"/>
      <c r="K197" s="192"/>
      <c r="L197" s="192"/>
      <c r="N197" s="192"/>
      <c r="O197" s="396"/>
      <c r="Q197" s="396"/>
      <c r="R197" s="192"/>
      <c r="S197" s="192"/>
      <c r="T197" s="192"/>
      <c r="U197" s="340"/>
      <c r="V197" s="192"/>
      <c r="X197" s="238"/>
      <c r="AD197" s="252"/>
    </row>
    <row r="198" spans="1:30" x14ac:dyDescent="0.15">
      <c r="D198" s="339"/>
      <c r="E198" s="192"/>
      <c r="H198" s="192"/>
      <c r="I198" s="192"/>
      <c r="J198" s="298"/>
      <c r="K198" s="192"/>
      <c r="L198" s="192"/>
      <c r="N198" s="192"/>
      <c r="O198" s="396"/>
      <c r="Q198" s="396"/>
      <c r="R198" s="192"/>
      <c r="S198" s="192"/>
      <c r="T198" s="192"/>
      <c r="U198" s="340"/>
      <c r="V198" s="192"/>
      <c r="X198" s="238"/>
      <c r="AD198" s="252"/>
    </row>
    <row r="199" spans="1:30" x14ac:dyDescent="0.15">
      <c r="D199" s="339"/>
      <c r="E199" s="192"/>
      <c r="H199" s="192"/>
      <c r="I199" s="192"/>
      <c r="J199" s="298"/>
      <c r="K199" s="192"/>
      <c r="L199" s="192"/>
      <c r="N199" s="192"/>
      <c r="O199" s="396"/>
      <c r="Q199" s="396"/>
      <c r="R199" s="192"/>
      <c r="S199" s="192"/>
      <c r="T199" s="192"/>
      <c r="U199" s="340"/>
      <c r="V199" s="192"/>
      <c r="X199" s="238"/>
      <c r="AD199" s="252"/>
    </row>
    <row r="200" spans="1:30" x14ac:dyDescent="0.15">
      <c r="D200" s="339"/>
      <c r="E200" s="192"/>
      <c r="H200" s="192"/>
      <c r="I200" s="192"/>
      <c r="J200" s="298"/>
      <c r="K200" s="192"/>
      <c r="L200" s="192"/>
      <c r="N200" s="192"/>
      <c r="O200" s="396"/>
      <c r="Q200" s="396"/>
      <c r="R200" s="192"/>
      <c r="S200" s="192"/>
      <c r="T200" s="192"/>
      <c r="U200" s="340"/>
      <c r="V200" s="192"/>
      <c r="X200" s="238"/>
      <c r="AD200" s="252"/>
    </row>
    <row r="201" spans="1:30" x14ac:dyDescent="0.15">
      <c r="D201" s="339"/>
      <c r="E201" s="192"/>
      <c r="H201" s="192"/>
      <c r="I201" s="192"/>
      <c r="J201" s="298"/>
      <c r="K201" s="192"/>
      <c r="L201" s="192"/>
      <c r="N201" s="192"/>
      <c r="O201" s="396"/>
      <c r="Q201" s="396"/>
      <c r="R201" s="192"/>
      <c r="S201" s="192"/>
      <c r="T201" s="192"/>
      <c r="U201" s="340"/>
      <c r="V201" s="192"/>
      <c r="X201" s="238"/>
      <c r="AD201" s="252"/>
    </row>
    <row r="202" spans="1:30" x14ac:dyDescent="0.15">
      <c r="D202" s="339"/>
      <c r="E202" s="192"/>
      <c r="H202" s="192"/>
      <c r="I202" s="192"/>
      <c r="J202" s="298"/>
      <c r="K202" s="192"/>
      <c r="L202" s="192"/>
      <c r="N202" s="192"/>
      <c r="O202" s="396"/>
      <c r="Q202" s="396"/>
      <c r="R202" s="192"/>
      <c r="S202" s="192"/>
      <c r="T202" s="192"/>
      <c r="U202" s="340"/>
      <c r="V202" s="192"/>
      <c r="X202" s="238"/>
      <c r="AD202" s="252"/>
    </row>
    <row r="203" spans="1:30" x14ac:dyDescent="0.15">
      <c r="D203" s="339"/>
      <c r="E203" s="192"/>
      <c r="H203" s="192"/>
      <c r="I203" s="192"/>
      <c r="J203" s="298"/>
      <c r="K203" s="192"/>
      <c r="L203" s="192"/>
      <c r="N203" s="192"/>
      <c r="O203" s="396"/>
      <c r="Q203" s="396"/>
      <c r="R203" s="192"/>
      <c r="S203" s="192"/>
      <c r="T203" s="192"/>
      <c r="U203" s="340"/>
      <c r="V203" s="192"/>
      <c r="X203" s="238"/>
      <c r="AD203" s="252"/>
    </row>
    <row r="204" spans="1:30" x14ac:dyDescent="0.15">
      <c r="D204" s="339"/>
      <c r="E204" s="192"/>
      <c r="H204" s="192"/>
      <c r="I204" s="192"/>
      <c r="J204" s="298"/>
      <c r="K204" s="192"/>
      <c r="L204" s="192"/>
      <c r="N204" s="192"/>
      <c r="O204" s="396"/>
      <c r="Q204" s="396"/>
      <c r="R204" s="192"/>
      <c r="S204" s="192"/>
      <c r="T204" s="192"/>
      <c r="U204" s="340"/>
      <c r="V204" s="192"/>
      <c r="AD204" s="252"/>
    </row>
    <row r="205" spans="1:30" x14ac:dyDescent="0.15">
      <c r="D205" s="339"/>
      <c r="E205" s="192"/>
      <c r="H205" s="192"/>
      <c r="I205" s="192"/>
      <c r="J205" s="298"/>
      <c r="K205" s="192"/>
      <c r="L205" s="192"/>
      <c r="N205" s="192"/>
      <c r="O205" s="396"/>
      <c r="Q205" s="396"/>
      <c r="R205" s="192"/>
      <c r="S205" s="192"/>
      <c r="T205" s="192"/>
      <c r="U205" s="340"/>
      <c r="V205" s="192"/>
      <c r="AD205" s="252"/>
    </row>
    <row r="206" spans="1:30" x14ac:dyDescent="0.15">
      <c r="D206" s="339"/>
      <c r="E206" s="192"/>
      <c r="H206" s="192"/>
      <c r="I206" s="192"/>
      <c r="J206" s="298"/>
      <c r="K206" s="192"/>
      <c r="L206" s="192"/>
      <c r="N206" s="192"/>
      <c r="O206" s="396"/>
      <c r="Q206" s="396"/>
      <c r="R206" s="192"/>
      <c r="S206" s="192"/>
      <c r="T206" s="192"/>
      <c r="U206" s="340"/>
      <c r="V206" s="192"/>
      <c r="AD206" s="252"/>
    </row>
    <row r="207" spans="1:30" x14ac:dyDescent="0.15">
      <c r="D207" s="339"/>
      <c r="E207" s="192"/>
      <c r="H207" s="192"/>
      <c r="I207" s="192"/>
      <c r="J207" s="298"/>
      <c r="K207" s="192"/>
      <c r="L207" s="192"/>
      <c r="N207" s="192"/>
      <c r="O207" s="396"/>
      <c r="Q207" s="396"/>
      <c r="R207" s="192"/>
      <c r="S207" s="192"/>
      <c r="T207" s="192"/>
      <c r="U207" s="340"/>
      <c r="V207" s="192"/>
      <c r="AD207" s="252"/>
    </row>
    <row r="208" spans="1:30" x14ac:dyDescent="0.15">
      <c r="D208" s="339"/>
      <c r="E208" s="192"/>
      <c r="H208" s="192"/>
      <c r="I208" s="192"/>
      <c r="J208" s="298"/>
      <c r="K208" s="192"/>
      <c r="L208" s="192"/>
      <c r="N208" s="192"/>
      <c r="O208" s="396"/>
      <c r="Q208" s="396"/>
      <c r="R208" s="192"/>
      <c r="S208" s="192"/>
      <c r="T208" s="192"/>
      <c r="U208" s="340"/>
      <c r="V208" s="192"/>
      <c r="AD208" s="252"/>
    </row>
    <row r="209" spans="4:30" x14ac:dyDescent="0.15">
      <c r="D209" s="339"/>
      <c r="E209" s="192"/>
      <c r="H209" s="192"/>
      <c r="I209" s="192"/>
      <c r="J209" s="298"/>
      <c r="K209" s="192"/>
      <c r="L209" s="192"/>
      <c r="N209" s="192"/>
      <c r="O209" s="396"/>
      <c r="Q209" s="396"/>
      <c r="R209" s="192"/>
      <c r="S209" s="192"/>
      <c r="T209" s="192"/>
      <c r="U209" s="340"/>
      <c r="V209" s="192"/>
      <c r="AD209" s="252"/>
    </row>
    <row r="210" spans="4:30" x14ac:dyDescent="0.15">
      <c r="D210" s="339"/>
      <c r="E210" s="192"/>
      <c r="H210" s="192"/>
      <c r="I210" s="192"/>
      <c r="J210" s="298"/>
      <c r="K210" s="192"/>
      <c r="L210" s="192"/>
      <c r="N210" s="192"/>
      <c r="O210" s="396"/>
      <c r="Q210" s="396"/>
      <c r="R210" s="192"/>
      <c r="S210" s="192"/>
      <c r="T210" s="192"/>
      <c r="U210" s="340"/>
      <c r="V210" s="192"/>
      <c r="AD210" s="252"/>
    </row>
    <row r="211" spans="4:30" x14ac:dyDescent="0.15">
      <c r="D211" s="339"/>
      <c r="E211" s="192"/>
      <c r="H211" s="192"/>
      <c r="I211" s="192"/>
      <c r="J211" s="298"/>
      <c r="K211" s="192"/>
      <c r="L211" s="192"/>
      <c r="N211" s="192"/>
      <c r="O211" s="396"/>
      <c r="Q211" s="396"/>
      <c r="R211" s="192"/>
      <c r="S211" s="192"/>
      <c r="T211" s="192"/>
      <c r="U211" s="340"/>
      <c r="V211" s="192"/>
      <c r="AD211" s="252"/>
    </row>
    <row r="212" spans="4:30" x14ac:dyDescent="0.15">
      <c r="D212" s="339"/>
      <c r="E212" s="192"/>
      <c r="H212" s="192"/>
      <c r="I212" s="192"/>
      <c r="J212" s="298"/>
      <c r="K212" s="192"/>
      <c r="L212" s="192"/>
      <c r="N212" s="192"/>
      <c r="O212" s="396"/>
      <c r="Q212" s="396"/>
      <c r="R212" s="192"/>
      <c r="S212" s="192"/>
      <c r="T212" s="192"/>
      <c r="U212" s="340"/>
      <c r="V212" s="192"/>
      <c r="AD212" s="252"/>
    </row>
    <row r="213" spans="4:30" x14ac:dyDescent="0.15">
      <c r="D213" s="339"/>
      <c r="E213" s="192"/>
      <c r="H213" s="192"/>
      <c r="I213" s="192"/>
      <c r="J213" s="298"/>
      <c r="K213" s="192"/>
      <c r="L213" s="192"/>
      <c r="N213" s="192"/>
      <c r="O213" s="396"/>
      <c r="Q213" s="396"/>
      <c r="R213" s="192"/>
      <c r="S213" s="192"/>
      <c r="T213" s="192"/>
      <c r="U213" s="340"/>
      <c r="V213" s="192"/>
      <c r="AD213" s="252"/>
    </row>
    <row r="214" spans="4:30" x14ac:dyDescent="0.15">
      <c r="D214" s="339"/>
      <c r="E214" s="192"/>
      <c r="H214" s="192"/>
      <c r="I214" s="192"/>
      <c r="J214" s="298"/>
      <c r="K214" s="192"/>
      <c r="L214" s="192"/>
      <c r="N214" s="192"/>
      <c r="O214" s="396"/>
      <c r="Q214" s="396"/>
      <c r="R214" s="192"/>
      <c r="S214" s="192"/>
      <c r="T214" s="192"/>
      <c r="U214" s="340"/>
      <c r="V214" s="192"/>
      <c r="AD214" s="252"/>
    </row>
    <row r="215" spans="4:30" x14ac:dyDescent="0.15">
      <c r="D215" s="339"/>
      <c r="E215" s="192"/>
      <c r="H215" s="192"/>
      <c r="I215" s="192"/>
      <c r="J215" s="298"/>
      <c r="K215" s="192"/>
      <c r="L215" s="192"/>
      <c r="N215" s="192"/>
      <c r="O215" s="396"/>
      <c r="Q215" s="396"/>
      <c r="R215" s="192"/>
      <c r="S215" s="192"/>
      <c r="T215" s="192"/>
      <c r="U215" s="340"/>
      <c r="V215" s="192"/>
      <c r="AD215" s="252"/>
    </row>
    <row r="216" spans="4:30" x14ac:dyDescent="0.15">
      <c r="D216" s="339"/>
      <c r="E216" s="192"/>
      <c r="H216" s="192"/>
      <c r="I216" s="192"/>
      <c r="J216" s="298"/>
      <c r="K216" s="192"/>
      <c r="L216" s="192"/>
      <c r="N216" s="192"/>
      <c r="O216" s="396"/>
      <c r="Q216" s="396"/>
      <c r="R216" s="192"/>
      <c r="S216" s="192"/>
      <c r="T216" s="192"/>
      <c r="U216" s="340"/>
      <c r="V216" s="192"/>
      <c r="AD216" s="252"/>
    </row>
    <row r="217" spans="4:30" x14ac:dyDescent="0.15">
      <c r="D217" s="339"/>
      <c r="E217" s="192"/>
      <c r="H217" s="192"/>
      <c r="I217" s="192"/>
      <c r="J217" s="298"/>
      <c r="K217" s="192"/>
      <c r="L217" s="192"/>
      <c r="N217" s="192"/>
      <c r="O217" s="396"/>
      <c r="Q217" s="396"/>
      <c r="R217" s="192"/>
      <c r="S217" s="192"/>
      <c r="T217" s="192"/>
      <c r="U217" s="340"/>
      <c r="V217" s="192"/>
      <c r="AD217" s="252"/>
    </row>
    <row r="218" spans="4:30" x14ac:dyDescent="0.15">
      <c r="D218" s="339"/>
      <c r="E218" s="192"/>
      <c r="H218" s="192"/>
      <c r="I218" s="192"/>
      <c r="J218" s="298"/>
      <c r="K218" s="192"/>
      <c r="L218" s="192"/>
      <c r="N218" s="192"/>
      <c r="O218" s="396"/>
      <c r="Q218" s="396"/>
      <c r="R218" s="192"/>
      <c r="S218" s="192"/>
      <c r="T218" s="192"/>
      <c r="U218" s="340"/>
      <c r="V218" s="192"/>
      <c r="AD218" s="252"/>
    </row>
    <row r="219" spans="4:30" x14ac:dyDescent="0.15">
      <c r="D219" s="339"/>
      <c r="E219" s="192"/>
      <c r="H219" s="192"/>
      <c r="I219" s="192"/>
      <c r="J219" s="298"/>
      <c r="K219" s="192"/>
      <c r="L219" s="192"/>
      <c r="N219" s="192"/>
      <c r="O219" s="396"/>
      <c r="Q219" s="396"/>
      <c r="R219" s="192"/>
      <c r="S219" s="192"/>
      <c r="T219" s="192"/>
      <c r="U219" s="340"/>
      <c r="V219" s="192"/>
      <c r="AD219" s="252"/>
    </row>
    <row r="220" spans="4:30" x14ac:dyDescent="0.15">
      <c r="D220" s="339"/>
      <c r="E220" s="192"/>
      <c r="H220" s="192"/>
      <c r="I220" s="192"/>
      <c r="J220" s="298"/>
      <c r="K220" s="192"/>
      <c r="L220" s="192"/>
      <c r="N220" s="192"/>
      <c r="O220" s="396"/>
      <c r="Q220" s="396"/>
      <c r="R220" s="192"/>
      <c r="S220" s="192"/>
      <c r="T220" s="192"/>
      <c r="U220" s="340"/>
      <c r="V220" s="192"/>
      <c r="AD220" s="252"/>
    </row>
    <row r="221" spans="4:30" x14ac:dyDescent="0.15">
      <c r="D221" s="339"/>
      <c r="E221" s="192"/>
      <c r="H221" s="192"/>
      <c r="I221" s="192"/>
      <c r="J221" s="298"/>
      <c r="K221" s="192"/>
      <c r="L221" s="192"/>
      <c r="N221" s="192"/>
      <c r="O221" s="396"/>
      <c r="Q221" s="396"/>
      <c r="R221" s="192"/>
      <c r="S221" s="192"/>
      <c r="T221" s="192"/>
      <c r="U221" s="340"/>
      <c r="V221" s="192"/>
      <c r="AD221" s="252"/>
    </row>
    <row r="222" spans="4:30" x14ac:dyDescent="0.15">
      <c r="D222" s="339"/>
      <c r="E222" s="192"/>
      <c r="H222" s="192"/>
      <c r="I222" s="192"/>
      <c r="J222" s="298"/>
      <c r="K222" s="192"/>
      <c r="L222" s="192"/>
      <c r="N222" s="192"/>
      <c r="O222" s="396"/>
      <c r="Q222" s="396"/>
      <c r="R222" s="192"/>
      <c r="S222" s="192"/>
      <c r="T222" s="192"/>
      <c r="U222" s="340"/>
      <c r="V222" s="192"/>
      <c r="AD222" s="252"/>
    </row>
    <row r="223" spans="4:30" x14ac:dyDescent="0.15">
      <c r="D223" s="339"/>
      <c r="E223" s="192"/>
      <c r="H223" s="192"/>
      <c r="I223" s="192"/>
      <c r="J223" s="298"/>
      <c r="K223" s="192"/>
      <c r="L223" s="192"/>
      <c r="N223" s="192"/>
      <c r="O223" s="396"/>
      <c r="Q223" s="396"/>
      <c r="R223" s="192"/>
      <c r="S223" s="192"/>
      <c r="T223" s="192"/>
      <c r="U223" s="340"/>
      <c r="V223" s="192"/>
      <c r="AD223" s="252"/>
    </row>
    <row r="224" spans="4:30" x14ac:dyDescent="0.15">
      <c r="D224" s="339"/>
      <c r="E224" s="192"/>
      <c r="H224" s="192"/>
      <c r="I224" s="192"/>
      <c r="J224" s="298"/>
      <c r="K224" s="192"/>
      <c r="L224" s="192"/>
      <c r="N224" s="192"/>
      <c r="O224" s="396"/>
      <c r="Q224" s="396"/>
      <c r="R224" s="192"/>
      <c r="S224" s="192"/>
      <c r="T224" s="192"/>
      <c r="U224" s="340"/>
      <c r="V224" s="192"/>
      <c r="AD224" s="252"/>
    </row>
    <row r="225" spans="4:30" x14ac:dyDescent="0.15">
      <c r="D225" s="339"/>
      <c r="E225" s="192"/>
      <c r="H225" s="192"/>
      <c r="I225" s="192"/>
      <c r="J225" s="298"/>
      <c r="K225" s="192"/>
      <c r="L225" s="192"/>
      <c r="N225" s="192"/>
      <c r="O225" s="396"/>
      <c r="Q225" s="396"/>
      <c r="R225" s="192"/>
      <c r="S225" s="192"/>
      <c r="T225" s="192"/>
      <c r="U225" s="340"/>
      <c r="V225" s="192"/>
      <c r="AD225" s="252"/>
    </row>
    <row r="226" spans="4:30" x14ac:dyDescent="0.15">
      <c r="D226" s="339"/>
      <c r="E226" s="192"/>
      <c r="H226" s="192"/>
      <c r="I226" s="192"/>
      <c r="J226" s="298"/>
      <c r="K226" s="192"/>
      <c r="L226" s="192"/>
      <c r="N226" s="192"/>
      <c r="O226" s="396"/>
      <c r="Q226" s="396"/>
      <c r="R226" s="192"/>
      <c r="S226" s="192"/>
      <c r="T226" s="192"/>
      <c r="U226" s="340"/>
      <c r="V226" s="192"/>
      <c r="AD226" s="252"/>
    </row>
    <row r="227" spans="4:30" x14ac:dyDescent="0.15">
      <c r="D227" s="339"/>
      <c r="E227" s="192"/>
      <c r="H227" s="192"/>
      <c r="I227" s="192"/>
      <c r="J227" s="298"/>
      <c r="K227" s="192"/>
      <c r="L227" s="192"/>
      <c r="N227" s="192"/>
      <c r="O227" s="396"/>
      <c r="Q227" s="396"/>
      <c r="R227" s="192"/>
      <c r="S227" s="192"/>
      <c r="T227" s="192"/>
      <c r="U227" s="340"/>
      <c r="V227" s="192"/>
      <c r="AD227" s="252"/>
    </row>
    <row r="228" spans="4:30" x14ac:dyDescent="0.15">
      <c r="D228" s="339"/>
      <c r="E228" s="192"/>
      <c r="H228" s="192"/>
      <c r="I228" s="192"/>
      <c r="J228" s="298"/>
      <c r="K228" s="192"/>
      <c r="L228" s="192"/>
      <c r="N228" s="192"/>
      <c r="O228" s="396"/>
      <c r="Q228" s="396"/>
      <c r="R228" s="192"/>
      <c r="S228" s="192"/>
      <c r="T228" s="192"/>
      <c r="U228" s="340"/>
      <c r="V228" s="192"/>
      <c r="AD228" s="252"/>
    </row>
    <row r="229" spans="4:30" x14ac:dyDescent="0.15">
      <c r="D229" s="339"/>
      <c r="E229" s="192"/>
      <c r="H229" s="192"/>
      <c r="I229" s="192"/>
      <c r="J229" s="298"/>
      <c r="K229" s="192"/>
      <c r="L229" s="192"/>
      <c r="N229" s="192"/>
      <c r="O229" s="396"/>
      <c r="Q229" s="396"/>
      <c r="R229" s="192"/>
      <c r="S229" s="192"/>
      <c r="T229" s="192"/>
      <c r="U229" s="340"/>
      <c r="V229" s="192"/>
      <c r="AD229" s="252"/>
    </row>
    <row r="230" spans="4:30" x14ac:dyDescent="0.15">
      <c r="D230" s="339"/>
      <c r="E230" s="192"/>
      <c r="H230" s="192"/>
      <c r="I230" s="192"/>
      <c r="J230" s="298"/>
      <c r="K230" s="192"/>
      <c r="L230" s="192"/>
      <c r="N230" s="192"/>
      <c r="O230" s="396"/>
      <c r="Q230" s="396"/>
      <c r="R230" s="192"/>
      <c r="S230" s="192"/>
      <c r="T230" s="192"/>
      <c r="U230" s="340"/>
      <c r="V230" s="192"/>
      <c r="AD230" s="252"/>
    </row>
    <row r="231" spans="4:30" x14ac:dyDescent="0.15">
      <c r="D231" s="339"/>
      <c r="E231" s="192"/>
      <c r="H231" s="192"/>
      <c r="I231" s="192"/>
      <c r="J231" s="298"/>
      <c r="K231" s="192"/>
      <c r="L231" s="192"/>
      <c r="N231" s="192"/>
      <c r="O231" s="396"/>
      <c r="Q231" s="396"/>
      <c r="R231" s="192"/>
      <c r="S231" s="192"/>
      <c r="T231" s="192"/>
      <c r="U231" s="340"/>
      <c r="V231" s="192"/>
      <c r="AD231" s="252"/>
    </row>
    <row r="232" spans="4:30" x14ac:dyDescent="0.15">
      <c r="D232" s="339"/>
      <c r="E232" s="192"/>
      <c r="H232" s="192"/>
      <c r="I232" s="192"/>
      <c r="J232" s="298"/>
      <c r="K232" s="192"/>
      <c r="L232" s="192"/>
      <c r="N232" s="192"/>
      <c r="O232" s="396"/>
      <c r="Q232" s="396"/>
      <c r="R232" s="192"/>
      <c r="S232" s="192"/>
      <c r="T232" s="192"/>
      <c r="U232" s="340"/>
      <c r="V232" s="192"/>
      <c r="AD232" s="252"/>
    </row>
    <row r="233" spans="4:30" x14ac:dyDescent="0.15">
      <c r="D233" s="339"/>
      <c r="E233" s="192"/>
      <c r="H233" s="192"/>
      <c r="I233" s="192"/>
      <c r="J233" s="298"/>
      <c r="K233" s="192"/>
      <c r="L233" s="192"/>
      <c r="N233" s="192"/>
      <c r="O233" s="396"/>
      <c r="Q233" s="396"/>
      <c r="R233" s="192"/>
      <c r="S233" s="192"/>
      <c r="T233" s="192"/>
      <c r="U233" s="340"/>
      <c r="V233" s="192"/>
      <c r="AD233" s="252"/>
    </row>
    <row r="234" spans="4:30" x14ac:dyDescent="0.15">
      <c r="D234" s="339"/>
      <c r="E234" s="192"/>
      <c r="H234" s="192"/>
      <c r="I234" s="192"/>
      <c r="J234" s="298"/>
      <c r="K234" s="192"/>
      <c r="L234" s="192"/>
      <c r="N234" s="192"/>
      <c r="O234" s="396"/>
      <c r="Q234" s="396"/>
      <c r="R234" s="192"/>
      <c r="S234" s="192"/>
      <c r="T234" s="192"/>
      <c r="U234" s="340"/>
      <c r="V234" s="192"/>
      <c r="AD234" s="252"/>
    </row>
    <row r="235" spans="4:30" x14ac:dyDescent="0.15">
      <c r="D235" s="339"/>
      <c r="E235" s="192"/>
      <c r="H235" s="192"/>
      <c r="I235" s="192"/>
      <c r="J235" s="298"/>
      <c r="K235" s="192"/>
      <c r="L235" s="192"/>
      <c r="N235" s="192"/>
      <c r="O235" s="396"/>
      <c r="Q235" s="396"/>
      <c r="R235" s="192"/>
      <c r="S235" s="192"/>
      <c r="T235" s="192"/>
      <c r="U235" s="340"/>
      <c r="V235" s="192"/>
      <c r="AD235" s="252"/>
    </row>
    <row r="236" spans="4:30" x14ac:dyDescent="0.15">
      <c r="D236" s="339"/>
      <c r="E236" s="192"/>
      <c r="H236" s="192"/>
      <c r="I236" s="192"/>
      <c r="J236" s="298"/>
      <c r="K236" s="192"/>
      <c r="L236" s="192"/>
      <c r="N236" s="192"/>
      <c r="O236" s="396"/>
      <c r="Q236" s="396"/>
      <c r="R236" s="192"/>
      <c r="S236" s="192"/>
      <c r="T236" s="192"/>
      <c r="U236" s="340"/>
      <c r="V236" s="192"/>
      <c r="AD236" s="252"/>
    </row>
    <row r="237" spans="4:30" x14ac:dyDescent="0.15">
      <c r="D237" s="339"/>
      <c r="E237" s="192"/>
      <c r="H237" s="192"/>
      <c r="I237" s="192"/>
      <c r="J237" s="298"/>
      <c r="K237" s="192"/>
      <c r="L237" s="192"/>
      <c r="N237" s="192"/>
      <c r="O237" s="396"/>
      <c r="Q237" s="396"/>
      <c r="R237" s="192"/>
      <c r="S237" s="192"/>
      <c r="T237" s="192"/>
      <c r="U237" s="340"/>
      <c r="V237" s="192"/>
      <c r="AD237" s="252"/>
    </row>
    <row r="238" spans="4:30" x14ac:dyDescent="0.15">
      <c r="D238" s="339"/>
      <c r="E238" s="192"/>
      <c r="H238" s="192"/>
      <c r="I238" s="192"/>
      <c r="J238" s="298"/>
      <c r="K238" s="192"/>
      <c r="L238" s="192"/>
      <c r="N238" s="192"/>
      <c r="O238" s="396"/>
      <c r="Q238" s="396"/>
      <c r="R238" s="192"/>
      <c r="S238" s="192"/>
      <c r="T238" s="192"/>
      <c r="U238" s="340"/>
      <c r="V238" s="192"/>
      <c r="AD238" s="252"/>
    </row>
    <row r="239" spans="4:30" x14ac:dyDescent="0.15">
      <c r="D239" s="339"/>
      <c r="E239" s="192"/>
      <c r="H239" s="192"/>
      <c r="I239" s="192"/>
      <c r="J239" s="298"/>
      <c r="K239" s="192"/>
      <c r="L239" s="192"/>
      <c r="N239" s="192"/>
      <c r="O239" s="396"/>
      <c r="Q239" s="396"/>
      <c r="R239" s="192"/>
      <c r="S239" s="192"/>
      <c r="T239" s="192"/>
      <c r="U239" s="340"/>
      <c r="V239" s="192"/>
      <c r="AD239" s="252"/>
    </row>
    <row r="240" spans="4:30" x14ac:dyDescent="0.15">
      <c r="D240" s="339"/>
      <c r="E240" s="192"/>
      <c r="H240" s="192"/>
      <c r="I240" s="192"/>
      <c r="J240" s="298"/>
      <c r="K240" s="192"/>
      <c r="L240" s="192"/>
      <c r="N240" s="192"/>
      <c r="O240" s="396"/>
      <c r="Q240" s="396"/>
      <c r="R240" s="192"/>
      <c r="S240" s="192"/>
      <c r="T240" s="192"/>
      <c r="U240" s="340"/>
      <c r="V240" s="192"/>
      <c r="AD240" s="252"/>
    </row>
    <row r="241" spans="4:30" x14ac:dyDescent="0.15">
      <c r="D241" s="339"/>
      <c r="E241" s="192"/>
      <c r="H241" s="192"/>
      <c r="I241" s="192"/>
      <c r="J241" s="298"/>
      <c r="K241" s="192"/>
      <c r="L241" s="192"/>
      <c r="N241" s="192"/>
      <c r="O241" s="396"/>
      <c r="Q241" s="396"/>
      <c r="R241" s="192"/>
      <c r="S241" s="192"/>
      <c r="T241" s="192"/>
      <c r="U241" s="340"/>
      <c r="V241" s="192"/>
      <c r="AD241" s="252"/>
    </row>
    <row r="242" spans="4:30" x14ac:dyDescent="0.15">
      <c r="D242" s="339"/>
      <c r="E242" s="192"/>
      <c r="H242" s="192"/>
      <c r="I242" s="192"/>
      <c r="J242" s="298"/>
      <c r="K242" s="192"/>
      <c r="L242" s="192"/>
      <c r="N242" s="192"/>
      <c r="O242" s="396"/>
      <c r="Q242" s="396"/>
      <c r="R242" s="192"/>
      <c r="S242" s="192"/>
      <c r="T242" s="192"/>
      <c r="U242" s="340"/>
      <c r="V242" s="192"/>
      <c r="AD242" s="252"/>
    </row>
    <row r="243" spans="4:30" x14ac:dyDescent="0.15">
      <c r="D243" s="339"/>
      <c r="E243" s="192"/>
      <c r="H243" s="192"/>
      <c r="I243" s="192"/>
      <c r="J243" s="298"/>
      <c r="K243" s="192"/>
      <c r="L243" s="192"/>
      <c r="N243" s="192"/>
      <c r="O243" s="396"/>
      <c r="Q243" s="396"/>
      <c r="R243" s="192"/>
      <c r="S243" s="192"/>
      <c r="T243" s="192"/>
      <c r="U243" s="340"/>
      <c r="V243" s="192"/>
      <c r="AD243" s="252"/>
    </row>
    <row r="244" spans="4:30" x14ac:dyDescent="0.15">
      <c r="D244" s="339"/>
      <c r="E244" s="192"/>
      <c r="H244" s="192"/>
      <c r="I244" s="192"/>
      <c r="J244" s="298"/>
      <c r="K244" s="192"/>
      <c r="L244" s="192"/>
      <c r="N244" s="192"/>
      <c r="O244" s="396"/>
      <c r="Q244" s="396"/>
      <c r="R244" s="192"/>
      <c r="S244" s="192"/>
      <c r="T244" s="192"/>
      <c r="U244" s="340"/>
      <c r="V244" s="192"/>
      <c r="AD244" s="252"/>
    </row>
    <row r="245" spans="4:30" x14ac:dyDescent="0.15">
      <c r="D245" s="339"/>
      <c r="E245" s="192"/>
      <c r="H245" s="192"/>
      <c r="I245" s="192"/>
      <c r="J245" s="298"/>
      <c r="K245" s="192"/>
      <c r="L245" s="192"/>
      <c r="N245" s="192"/>
      <c r="O245" s="396"/>
      <c r="Q245" s="396"/>
      <c r="R245" s="192"/>
      <c r="S245" s="192"/>
      <c r="T245" s="192"/>
      <c r="U245" s="340"/>
      <c r="V245" s="192"/>
      <c r="AD245" s="252"/>
    </row>
    <row r="246" spans="4:30" x14ac:dyDescent="0.15">
      <c r="D246" s="339"/>
      <c r="E246" s="192"/>
      <c r="H246" s="192"/>
      <c r="I246" s="192"/>
      <c r="J246" s="298"/>
      <c r="K246" s="192"/>
      <c r="L246" s="192"/>
      <c r="N246" s="192"/>
      <c r="O246" s="396"/>
      <c r="Q246" s="396"/>
      <c r="R246" s="192"/>
      <c r="S246" s="192"/>
      <c r="T246" s="192"/>
      <c r="U246" s="340"/>
      <c r="V246" s="192"/>
      <c r="AD246" s="252"/>
    </row>
    <row r="247" spans="4:30" x14ac:dyDescent="0.15">
      <c r="D247" s="339"/>
      <c r="E247" s="192"/>
      <c r="H247" s="192"/>
      <c r="I247" s="192"/>
      <c r="J247" s="298"/>
      <c r="K247" s="192"/>
      <c r="L247" s="192"/>
      <c r="N247" s="192"/>
      <c r="O247" s="396"/>
      <c r="Q247" s="396"/>
      <c r="R247" s="192"/>
      <c r="S247" s="192"/>
      <c r="T247" s="192"/>
      <c r="U247" s="340"/>
      <c r="V247" s="192"/>
      <c r="AD247" s="252"/>
    </row>
    <row r="248" spans="4:30" x14ac:dyDescent="0.15">
      <c r="D248" s="339"/>
      <c r="E248" s="192"/>
      <c r="H248" s="192"/>
      <c r="I248" s="192"/>
      <c r="J248" s="298"/>
      <c r="K248" s="192"/>
      <c r="L248" s="192"/>
      <c r="N248" s="192"/>
      <c r="O248" s="396"/>
      <c r="Q248" s="396"/>
      <c r="R248" s="192"/>
      <c r="S248" s="192"/>
      <c r="T248" s="192"/>
      <c r="U248" s="340"/>
      <c r="V248" s="192"/>
      <c r="AD248" s="252"/>
    </row>
    <row r="249" spans="4:30" x14ac:dyDescent="0.15">
      <c r="D249" s="339"/>
      <c r="E249" s="192"/>
      <c r="H249" s="192"/>
      <c r="I249" s="192"/>
      <c r="J249" s="298"/>
      <c r="K249" s="192"/>
      <c r="L249" s="192"/>
      <c r="N249" s="192"/>
      <c r="O249" s="396"/>
      <c r="Q249" s="396"/>
      <c r="R249" s="192"/>
      <c r="S249" s="192"/>
      <c r="T249" s="192"/>
      <c r="U249" s="340"/>
      <c r="V249" s="192"/>
      <c r="AD249" s="252"/>
    </row>
    <row r="250" spans="4:30" x14ac:dyDescent="0.15">
      <c r="D250" s="339"/>
      <c r="E250" s="192"/>
      <c r="H250" s="192"/>
      <c r="I250" s="192"/>
      <c r="J250" s="298"/>
      <c r="K250" s="192"/>
      <c r="L250" s="192"/>
      <c r="N250" s="192"/>
      <c r="O250" s="396"/>
      <c r="Q250" s="396"/>
      <c r="R250" s="192"/>
      <c r="S250" s="192"/>
      <c r="T250" s="192"/>
      <c r="U250" s="340"/>
      <c r="V250" s="192"/>
      <c r="AD250" s="252"/>
    </row>
    <row r="251" spans="4:30" x14ac:dyDescent="0.15">
      <c r="D251" s="339"/>
      <c r="E251" s="192"/>
      <c r="H251" s="192"/>
      <c r="I251" s="192"/>
      <c r="J251" s="298"/>
      <c r="K251" s="192"/>
      <c r="L251" s="192"/>
      <c r="N251" s="192"/>
      <c r="O251" s="396"/>
      <c r="Q251" s="396"/>
      <c r="R251" s="192"/>
      <c r="S251" s="192"/>
      <c r="T251" s="192"/>
      <c r="U251" s="340"/>
      <c r="V251" s="192"/>
      <c r="AD251" s="252"/>
    </row>
    <row r="252" spans="4:30" x14ac:dyDescent="0.15">
      <c r="D252" s="339"/>
      <c r="E252" s="192"/>
      <c r="H252" s="192"/>
      <c r="I252" s="192"/>
      <c r="J252" s="298"/>
      <c r="K252" s="192"/>
      <c r="L252" s="192"/>
      <c r="N252" s="192"/>
      <c r="O252" s="396"/>
      <c r="Q252" s="396"/>
      <c r="R252" s="192"/>
      <c r="S252" s="192"/>
      <c r="T252" s="192"/>
      <c r="U252" s="340"/>
      <c r="V252" s="192"/>
      <c r="AD252" s="252"/>
    </row>
    <row r="253" spans="4:30" x14ac:dyDescent="0.15">
      <c r="D253" s="339"/>
      <c r="E253" s="192"/>
      <c r="H253" s="192"/>
      <c r="I253" s="192"/>
      <c r="J253" s="298"/>
      <c r="K253" s="192"/>
      <c r="L253" s="192"/>
      <c r="N253" s="192"/>
      <c r="O253" s="396"/>
      <c r="Q253" s="396"/>
      <c r="R253" s="192"/>
      <c r="S253" s="192"/>
      <c r="T253" s="192"/>
      <c r="U253" s="340"/>
      <c r="V253" s="192"/>
      <c r="AD253" s="252"/>
    </row>
    <row r="254" spans="4:30" x14ac:dyDescent="0.15">
      <c r="D254" s="339"/>
      <c r="E254" s="192"/>
      <c r="H254" s="192"/>
      <c r="I254" s="192"/>
      <c r="J254" s="298"/>
      <c r="K254" s="192"/>
      <c r="L254" s="192"/>
      <c r="N254" s="192"/>
      <c r="O254" s="396"/>
      <c r="Q254" s="396"/>
      <c r="R254" s="192"/>
      <c r="S254" s="192"/>
      <c r="T254" s="192"/>
      <c r="U254" s="340"/>
      <c r="V254" s="192"/>
      <c r="AD254" s="252"/>
    </row>
    <row r="255" spans="4:30" x14ac:dyDescent="0.15">
      <c r="D255" s="339"/>
      <c r="E255" s="192"/>
      <c r="H255" s="192"/>
      <c r="I255" s="192"/>
      <c r="J255" s="298"/>
      <c r="K255" s="192"/>
      <c r="L255" s="192"/>
      <c r="N255" s="192"/>
      <c r="O255" s="396"/>
      <c r="Q255" s="396"/>
      <c r="R255" s="192"/>
      <c r="S255" s="192"/>
      <c r="T255" s="192"/>
      <c r="U255" s="340"/>
      <c r="V255" s="192"/>
      <c r="AD255" s="252"/>
    </row>
    <row r="256" spans="4:30" x14ac:dyDescent="0.15">
      <c r="D256" s="339"/>
      <c r="E256" s="192"/>
      <c r="H256" s="192"/>
      <c r="I256" s="192"/>
      <c r="J256" s="298"/>
      <c r="K256" s="192"/>
      <c r="L256" s="192"/>
      <c r="N256" s="192"/>
      <c r="O256" s="396"/>
      <c r="Q256" s="396"/>
      <c r="R256" s="192"/>
      <c r="S256" s="192"/>
      <c r="T256" s="192"/>
      <c r="U256" s="340"/>
      <c r="V256" s="192"/>
      <c r="AD256" s="252"/>
    </row>
    <row r="257" spans="4:30" x14ac:dyDescent="0.15">
      <c r="D257" s="339"/>
      <c r="E257" s="192"/>
      <c r="H257" s="192"/>
      <c r="I257" s="192"/>
      <c r="J257" s="298"/>
      <c r="K257" s="192"/>
      <c r="L257" s="192"/>
      <c r="N257" s="192"/>
      <c r="O257" s="396"/>
      <c r="Q257" s="396"/>
      <c r="R257" s="192"/>
      <c r="S257" s="192"/>
      <c r="T257" s="192"/>
      <c r="U257" s="340"/>
      <c r="V257" s="192"/>
      <c r="AD257" s="252"/>
    </row>
    <row r="258" spans="4:30" x14ac:dyDescent="0.15">
      <c r="D258" s="339"/>
      <c r="E258" s="192"/>
      <c r="H258" s="192"/>
      <c r="I258" s="192"/>
      <c r="J258" s="298"/>
      <c r="K258" s="192"/>
      <c r="L258" s="192"/>
      <c r="N258" s="192"/>
      <c r="O258" s="396"/>
      <c r="Q258" s="396"/>
      <c r="R258" s="192"/>
      <c r="S258" s="192"/>
      <c r="T258" s="192"/>
      <c r="U258" s="340"/>
      <c r="V258" s="192"/>
      <c r="AD258" s="252"/>
    </row>
    <row r="259" spans="4:30" x14ac:dyDescent="0.15">
      <c r="D259" s="339"/>
      <c r="E259" s="192"/>
      <c r="H259" s="192"/>
      <c r="I259" s="192"/>
      <c r="J259" s="298"/>
      <c r="K259" s="192"/>
      <c r="L259" s="192"/>
      <c r="N259" s="192"/>
      <c r="O259" s="396"/>
      <c r="Q259" s="396"/>
      <c r="R259" s="192"/>
      <c r="S259" s="192"/>
      <c r="T259" s="192"/>
      <c r="U259" s="340"/>
      <c r="V259" s="192"/>
      <c r="AD259" s="252"/>
    </row>
    <row r="260" spans="4:30" x14ac:dyDescent="0.15">
      <c r="D260" s="339"/>
      <c r="E260" s="192"/>
      <c r="H260" s="192"/>
      <c r="I260" s="192"/>
      <c r="J260" s="298"/>
      <c r="K260" s="192"/>
      <c r="L260" s="192"/>
      <c r="N260" s="192"/>
      <c r="O260" s="396"/>
      <c r="Q260" s="396"/>
      <c r="R260" s="192"/>
      <c r="S260" s="192"/>
      <c r="T260" s="192"/>
      <c r="U260" s="340"/>
      <c r="V260" s="192"/>
      <c r="AD260" s="252"/>
    </row>
    <row r="261" spans="4:30" x14ac:dyDescent="0.15">
      <c r="D261" s="339"/>
      <c r="E261" s="192"/>
      <c r="H261" s="192"/>
      <c r="I261" s="192"/>
      <c r="J261" s="298"/>
      <c r="K261" s="192"/>
      <c r="L261" s="192"/>
      <c r="N261" s="192"/>
      <c r="O261" s="396"/>
      <c r="Q261" s="396"/>
      <c r="R261" s="192"/>
      <c r="S261" s="192"/>
      <c r="T261" s="192"/>
      <c r="U261" s="340"/>
      <c r="V261" s="192"/>
      <c r="AD261" s="252"/>
    </row>
    <row r="262" spans="4:30" x14ac:dyDescent="0.15">
      <c r="D262" s="339"/>
      <c r="E262" s="192"/>
      <c r="H262" s="192"/>
      <c r="I262" s="192"/>
      <c r="J262" s="298"/>
      <c r="K262" s="192"/>
      <c r="L262" s="192"/>
      <c r="N262" s="192"/>
      <c r="O262" s="396"/>
      <c r="Q262" s="396"/>
      <c r="R262" s="192"/>
      <c r="S262" s="192"/>
      <c r="T262" s="192"/>
      <c r="U262" s="340"/>
      <c r="V262" s="192"/>
      <c r="AD262" s="252"/>
    </row>
    <row r="263" spans="4:30" x14ac:dyDescent="0.15">
      <c r="D263" s="339"/>
      <c r="E263" s="192"/>
      <c r="H263" s="192"/>
      <c r="I263" s="192"/>
      <c r="J263" s="298"/>
      <c r="K263" s="192"/>
      <c r="L263" s="192"/>
      <c r="N263" s="192"/>
      <c r="O263" s="396"/>
      <c r="Q263" s="396"/>
      <c r="R263" s="192"/>
      <c r="S263" s="192"/>
      <c r="T263" s="192"/>
      <c r="U263" s="340"/>
      <c r="V263" s="192"/>
      <c r="AD263" s="252"/>
    </row>
    <row r="264" spans="4:30" x14ac:dyDescent="0.15">
      <c r="D264" s="339"/>
      <c r="E264" s="192"/>
      <c r="H264" s="192"/>
      <c r="I264" s="192"/>
      <c r="J264" s="298"/>
      <c r="K264" s="192"/>
      <c r="L264" s="192"/>
      <c r="N264" s="192"/>
      <c r="O264" s="396"/>
      <c r="Q264" s="396"/>
      <c r="R264" s="192"/>
      <c r="S264" s="192"/>
      <c r="T264" s="192"/>
      <c r="U264" s="340"/>
      <c r="V264" s="192"/>
      <c r="AD264" s="252"/>
    </row>
    <row r="265" spans="4:30" x14ac:dyDescent="0.15">
      <c r="D265" s="339"/>
      <c r="E265" s="192"/>
      <c r="H265" s="192"/>
      <c r="I265" s="192"/>
      <c r="J265" s="298"/>
      <c r="K265" s="192"/>
      <c r="L265" s="192"/>
      <c r="N265" s="192"/>
      <c r="O265" s="396"/>
      <c r="Q265" s="396"/>
      <c r="R265" s="192"/>
      <c r="S265" s="192"/>
      <c r="T265" s="192"/>
      <c r="U265" s="340"/>
      <c r="V265" s="192"/>
      <c r="AD265" s="252"/>
    </row>
    <row r="266" spans="4:30" x14ac:dyDescent="0.15">
      <c r="D266" s="339"/>
      <c r="E266" s="192"/>
      <c r="H266" s="192"/>
      <c r="I266" s="192"/>
      <c r="J266" s="298"/>
      <c r="K266" s="192"/>
      <c r="L266" s="192"/>
      <c r="N266" s="192"/>
      <c r="O266" s="396"/>
      <c r="Q266" s="396"/>
      <c r="R266" s="192"/>
      <c r="S266" s="192"/>
      <c r="T266" s="192"/>
      <c r="U266" s="340"/>
      <c r="V266" s="192"/>
      <c r="AD266" s="252"/>
    </row>
    <row r="267" spans="4:30" x14ac:dyDescent="0.15">
      <c r="D267" s="339"/>
      <c r="E267" s="192"/>
      <c r="H267" s="192"/>
      <c r="I267" s="192"/>
      <c r="J267" s="298"/>
      <c r="K267" s="192"/>
      <c r="L267" s="192"/>
      <c r="N267" s="192"/>
      <c r="O267" s="396"/>
      <c r="Q267" s="396"/>
      <c r="R267" s="192"/>
      <c r="S267" s="192"/>
      <c r="T267" s="192"/>
      <c r="U267" s="340"/>
      <c r="V267" s="192"/>
      <c r="AD267" s="252"/>
    </row>
    <row r="268" spans="4:30" x14ac:dyDescent="0.15">
      <c r="D268" s="339"/>
      <c r="E268" s="192"/>
      <c r="H268" s="192"/>
      <c r="I268" s="192"/>
      <c r="J268" s="298"/>
      <c r="K268" s="192"/>
      <c r="L268" s="192"/>
      <c r="N268" s="192"/>
      <c r="O268" s="396"/>
      <c r="Q268" s="396"/>
      <c r="R268" s="192"/>
      <c r="S268" s="192"/>
      <c r="T268" s="192"/>
      <c r="U268" s="340"/>
      <c r="V268" s="192"/>
      <c r="AD268" s="252"/>
    </row>
    <row r="269" spans="4:30" x14ac:dyDescent="0.15">
      <c r="D269" s="339"/>
      <c r="E269" s="192"/>
      <c r="H269" s="192"/>
      <c r="I269" s="192"/>
      <c r="J269" s="298"/>
      <c r="K269" s="192"/>
      <c r="L269" s="192"/>
      <c r="N269" s="192"/>
      <c r="O269" s="396"/>
      <c r="Q269" s="396"/>
      <c r="R269" s="192"/>
      <c r="S269" s="192"/>
      <c r="T269" s="192"/>
      <c r="U269" s="340"/>
      <c r="V269" s="192"/>
      <c r="AD269" s="252"/>
    </row>
    <row r="270" spans="4:30" x14ac:dyDescent="0.15">
      <c r="D270" s="339"/>
      <c r="E270" s="192"/>
      <c r="H270" s="192"/>
      <c r="I270" s="192"/>
      <c r="J270" s="298"/>
      <c r="K270" s="192"/>
      <c r="L270" s="192"/>
      <c r="N270" s="192"/>
      <c r="O270" s="396"/>
      <c r="Q270" s="396"/>
      <c r="R270" s="192"/>
      <c r="S270" s="192"/>
      <c r="T270" s="192"/>
      <c r="U270" s="340"/>
      <c r="V270" s="192"/>
      <c r="AD270" s="252"/>
    </row>
    <row r="271" spans="4:30" x14ac:dyDescent="0.15">
      <c r="D271" s="339"/>
      <c r="E271" s="192"/>
      <c r="H271" s="192"/>
      <c r="I271" s="192"/>
      <c r="J271" s="298"/>
      <c r="K271" s="192"/>
      <c r="L271" s="192"/>
      <c r="N271" s="192"/>
      <c r="O271" s="396"/>
      <c r="Q271" s="396"/>
      <c r="R271" s="192"/>
      <c r="S271" s="192"/>
      <c r="T271" s="192"/>
      <c r="U271" s="340"/>
      <c r="V271" s="192"/>
      <c r="AD271" s="252"/>
    </row>
    <row r="272" spans="4:30" x14ac:dyDescent="0.15">
      <c r="D272" s="339"/>
      <c r="E272" s="192"/>
      <c r="H272" s="192"/>
      <c r="I272" s="192"/>
      <c r="J272" s="298"/>
      <c r="K272" s="192"/>
      <c r="L272" s="192"/>
      <c r="N272" s="192"/>
      <c r="O272" s="396"/>
      <c r="Q272" s="396"/>
      <c r="R272" s="192"/>
      <c r="S272" s="192"/>
      <c r="T272" s="192"/>
      <c r="U272" s="340"/>
      <c r="V272" s="192"/>
      <c r="AD272" s="252"/>
    </row>
    <row r="273" spans="4:30" x14ac:dyDescent="0.15">
      <c r="D273" s="339"/>
      <c r="E273" s="192"/>
      <c r="H273" s="192"/>
      <c r="I273" s="192"/>
      <c r="J273" s="298"/>
      <c r="K273" s="192"/>
      <c r="L273" s="192"/>
      <c r="N273" s="192"/>
      <c r="O273" s="396"/>
      <c r="Q273" s="396"/>
      <c r="R273" s="192"/>
      <c r="S273" s="192"/>
      <c r="T273" s="192"/>
      <c r="U273" s="340"/>
      <c r="V273" s="192"/>
      <c r="AD273" s="252"/>
    </row>
    <row r="274" spans="4:30" x14ac:dyDescent="0.15">
      <c r="D274" s="339"/>
      <c r="E274" s="192"/>
      <c r="H274" s="192"/>
      <c r="I274" s="192"/>
      <c r="J274" s="298"/>
      <c r="K274" s="192"/>
      <c r="L274" s="192"/>
      <c r="N274" s="192"/>
      <c r="O274" s="396"/>
      <c r="Q274" s="396"/>
      <c r="R274" s="192"/>
      <c r="S274" s="192"/>
      <c r="T274" s="192"/>
      <c r="U274" s="340"/>
      <c r="V274" s="192"/>
      <c r="AD274" s="252"/>
    </row>
    <row r="275" spans="4:30" x14ac:dyDescent="0.15">
      <c r="D275" s="339"/>
      <c r="E275" s="192"/>
      <c r="H275" s="192"/>
      <c r="I275" s="192"/>
      <c r="J275" s="298"/>
      <c r="K275" s="192"/>
      <c r="L275" s="192"/>
      <c r="N275" s="192"/>
      <c r="O275" s="396"/>
      <c r="Q275" s="396"/>
      <c r="R275" s="192"/>
      <c r="S275" s="192"/>
      <c r="T275" s="192"/>
      <c r="U275" s="340"/>
      <c r="V275" s="192"/>
      <c r="AD275" s="252"/>
    </row>
    <row r="276" spans="4:30" x14ac:dyDescent="0.15">
      <c r="D276" s="339"/>
      <c r="E276" s="192"/>
      <c r="H276" s="192"/>
      <c r="I276" s="192"/>
      <c r="J276" s="298"/>
      <c r="K276" s="192"/>
      <c r="L276" s="192"/>
      <c r="N276" s="192"/>
      <c r="O276" s="396"/>
      <c r="Q276" s="396"/>
      <c r="R276" s="192"/>
      <c r="S276" s="192"/>
      <c r="T276" s="192"/>
      <c r="U276" s="340"/>
      <c r="V276" s="192"/>
      <c r="AD276" s="252"/>
    </row>
    <row r="277" spans="4:30" x14ac:dyDescent="0.15">
      <c r="D277" s="339"/>
      <c r="E277" s="192"/>
      <c r="H277" s="192"/>
      <c r="I277" s="192"/>
      <c r="J277" s="298"/>
      <c r="K277" s="192"/>
      <c r="L277" s="192"/>
      <c r="N277" s="192"/>
      <c r="O277" s="396"/>
      <c r="Q277" s="396"/>
      <c r="R277" s="192"/>
      <c r="S277" s="192"/>
      <c r="T277" s="192"/>
      <c r="U277" s="340"/>
      <c r="V277" s="192"/>
      <c r="AD277" s="252"/>
    </row>
    <row r="278" spans="4:30" x14ac:dyDescent="0.15">
      <c r="D278" s="339"/>
      <c r="E278" s="192"/>
      <c r="H278" s="192"/>
      <c r="I278" s="192"/>
      <c r="J278" s="298"/>
      <c r="K278" s="192"/>
      <c r="L278" s="192"/>
      <c r="N278" s="192"/>
      <c r="O278" s="396"/>
      <c r="Q278" s="396"/>
      <c r="R278" s="192"/>
      <c r="S278" s="192"/>
      <c r="T278" s="192"/>
      <c r="U278" s="340"/>
      <c r="V278" s="192"/>
    </row>
    <row r="279" spans="4:30" x14ac:dyDescent="0.15">
      <c r="D279" s="339"/>
      <c r="E279" s="192"/>
      <c r="H279" s="192"/>
      <c r="I279" s="192"/>
      <c r="J279" s="298"/>
      <c r="K279" s="192"/>
      <c r="L279" s="192"/>
      <c r="N279" s="192"/>
      <c r="O279" s="396"/>
      <c r="Q279" s="396"/>
      <c r="R279" s="192"/>
      <c r="S279" s="192"/>
      <c r="T279" s="192"/>
      <c r="U279" s="340"/>
      <c r="V279" s="192"/>
    </row>
    <row r="280" spans="4:30" x14ac:dyDescent="0.15">
      <c r="D280" s="339"/>
      <c r="E280" s="192"/>
      <c r="H280" s="192"/>
      <c r="I280" s="192"/>
      <c r="J280" s="298"/>
      <c r="K280" s="192"/>
      <c r="L280" s="192"/>
      <c r="N280" s="192"/>
      <c r="O280" s="396"/>
      <c r="Q280" s="396"/>
      <c r="R280" s="192"/>
      <c r="S280" s="192"/>
      <c r="T280" s="192"/>
      <c r="U280" s="340"/>
      <c r="V280" s="192"/>
    </row>
    <row r="281" spans="4:30" x14ac:dyDescent="0.15">
      <c r="D281" s="339"/>
      <c r="E281" s="192"/>
      <c r="H281" s="192"/>
      <c r="I281" s="192"/>
      <c r="J281" s="298"/>
      <c r="K281" s="192"/>
      <c r="L281" s="192"/>
      <c r="N281" s="192"/>
      <c r="O281" s="396"/>
      <c r="Q281" s="396"/>
      <c r="R281" s="192"/>
      <c r="S281" s="192"/>
      <c r="T281" s="192"/>
      <c r="U281" s="340"/>
      <c r="V281" s="192"/>
    </row>
    <row r="282" spans="4:30" x14ac:dyDescent="0.15">
      <c r="D282" s="339"/>
      <c r="E282" s="192"/>
      <c r="H282" s="192"/>
      <c r="I282" s="192"/>
      <c r="J282" s="298"/>
      <c r="K282" s="192"/>
      <c r="L282" s="192"/>
      <c r="N282" s="192"/>
      <c r="O282" s="396"/>
      <c r="Q282" s="396"/>
      <c r="R282" s="192"/>
      <c r="S282" s="192"/>
      <c r="T282" s="192"/>
      <c r="U282" s="340"/>
      <c r="V282" s="192"/>
    </row>
    <row r="283" spans="4:30" x14ac:dyDescent="0.15">
      <c r="D283" s="339"/>
      <c r="E283" s="192"/>
      <c r="H283" s="192"/>
      <c r="I283" s="192"/>
      <c r="J283" s="298"/>
      <c r="K283" s="192"/>
      <c r="L283" s="192"/>
      <c r="N283" s="192"/>
      <c r="O283" s="396"/>
      <c r="Q283" s="396"/>
      <c r="R283" s="192"/>
      <c r="S283" s="192"/>
      <c r="T283" s="192"/>
      <c r="U283" s="340"/>
      <c r="V283" s="192"/>
    </row>
    <row r="284" spans="4:30" x14ac:dyDescent="0.15">
      <c r="D284" s="339"/>
      <c r="E284" s="192"/>
      <c r="H284" s="192"/>
      <c r="I284" s="192"/>
      <c r="J284" s="298"/>
      <c r="K284" s="192"/>
      <c r="L284" s="192"/>
      <c r="N284" s="192"/>
      <c r="O284" s="396"/>
      <c r="Q284" s="396"/>
      <c r="R284" s="192"/>
      <c r="S284" s="192"/>
      <c r="T284" s="192"/>
      <c r="U284" s="340"/>
      <c r="V284" s="192"/>
    </row>
    <row r="285" spans="4:30" x14ac:dyDescent="0.15">
      <c r="D285" s="339"/>
      <c r="E285" s="192"/>
      <c r="H285" s="192"/>
      <c r="I285" s="192"/>
      <c r="J285" s="298"/>
      <c r="K285" s="192"/>
      <c r="L285" s="192"/>
      <c r="N285" s="192"/>
      <c r="O285" s="396"/>
      <c r="Q285" s="396"/>
      <c r="R285" s="192"/>
      <c r="S285" s="192"/>
      <c r="T285" s="192"/>
      <c r="U285" s="340"/>
      <c r="V285" s="192"/>
    </row>
    <row r="286" spans="4:30" x14ac:dyDescent="0.15">
      <c r="D286" s="339"/>
      <c r="E286" s="192"/>
      <c r="H286" s="192"/>
      <c r="I286" s="192"/>
      <c r="J286" s="298"/>
      <c r="K286" s="192"/>
      <c r="L286" s="192"/>
      <c r="N286" s="192"/>
      <c r="O286" s="396"/>
      <c r="Q286" s="396"/>
      <c r="R286" s="192"/>
      <c r="S286" s="192"/>
      <c r="T286" s="192"/>
      <c r="U286" s="340"/>
      <c r="V286" s="192"/>
    </row>
    <row r="287" spans="4:30" x14ac:dyDescent="0.15">
      <c r="D287" s="339"/>
      <c r="E287" s="192"/>
      <c r="H287" s="192"/>
      <c r="I287" s="192"/>
      <c r="J287" s="298"/>
      <c r="K287" s="192"/>
      <c r="L287" s="192"/>
      <c r="N287" s="192"/>
      <c r="O287" s="396"/>
      <c r="Q287" s="396"/>
      <c r="R287" s="192"/>
      <c r="S287" s="192"/>
      <c r="T287" s="192"/>
      <c r="U287" s="340"/>
      <c r="V287" s="192"/>
    </row>
    <row r="288" spans="4:30" x14ac:dyDescent="0.15">
      <c r="D288" s="339"/>
      <c r="E288" s="192"/>
      <c r="H288" s="192"/>
      <c r="I288" s="192"/>
      <c r="J288" s="298"/>
      <c r="K288" s="192"/>
      <c r="L288" s="192"/>
      <c r="N288" s="192"/>
      <c r="O288" s="396"/>
      <c r="Q288" s="396"/>
      <c r="R288" s="192"/>
      <c r="S288" s="192"/>
      <c r="T288" s="192"/>
      <c r="U288" s="340"/>
      <c r="V288" s="192"/>
    </row>
    <row r="289" spans="4:22" x14ac:dyDescent="0.15">
      <c r="D289" s="339"/>
      <c r="E289" s="192"/>
      <c r="H289" s="192"/>
      <c r="I289" s="192"/>
      <c r="J289" s="298"/>
      <c r="K289" s="192"/>
      <c r="L289" s="192"/>
      <c r="N289" s="192"/>
      <c r="O289" s="396"/>
      <c r="Q289" s="396"/>
      <c r="R289" s="192"/>
      <c r="S289" s="192"/>
      <c r="T289" s="192"/>
      <c r="U289" s="340"/>
      <c r="V289" s="192"/>
    </row>
    <row r="290" spans="4:22" x14ac:dyDescent="0.15">
      <c r="D290" s="339"/>
      <c r="E290" s="192"/>
      <c r="H290" s="192"/>
      <c r="I290" s="192"/>
      <c r="J290" s="298"/>
      <c r="K290" s="192"/>
      <c r="L290" s="192"/>
      <c r="N290" s="192"/>
      <c r="O290" s="396"/>
      <c r="Q290" s="396"/>
      <c r="R290" s="192"/>
      <c r="S290" s="192"/>
      <c r="T290" s="192"/>
      <c r="U290" s="340"/>
      <c r="V290" s="192"/>
    </row>
    <row r="291" spans="4:22" x14ac:dyDescent="0.15">
      <c r="D291" s="339"/>
      <c r="E291" s="192"/>
      <c r="H291" s="192"/>
      <c r="I291" s="192"/>
      <c r="J291" s="298"/>
      <c r="K291" s="192"/>
      <c r="L291" s="192"/>
      <c r="N291" s="192"/>
      <c r="O291" s="396"/>
      <c r="Q291" s="396"/>
      <c r="R291" s="192"/>
      <c r="S291" s="192"/>
      <c r="T291" s="192"/>
      <c r="U291" s="340"/>
      <c r="V291" s="192"/>
    </row>
    <row r="292" spans="4:22" x14ac:dyDescent="0.15">
      <c r="D292" s="339"/>
      <c r="E292" s="192"/>
      <c r="H292" s="192"/>
      <c r="I292" s="192"/>
      <c r="J292" s="298"/>
      <c r="K292" s="192"/>
      <c r="L292" s="192"/>
      <c r="N292" s="192"/>
      <c r="O292" s="396"/>
      <c r="Q292" s="396"/>
      <c r="R292" s="192"/>
      <c r="S292" s="192"/>
      <c r="T292" s="192"/>
      <c r="U292" s="340"/>
      <c r="V292" s="192"/>
    </row>
    <row r="293" spans="4:22" x14ac:dyDescent="0.15">
      <c r="D293" s="339"/>
      <c r="E293" s="192"/>
      <c r="H293" s="192"/>
      <c r="I293" s="192"/>
      <c r="J293" s="298"/>
      <c r="K293" s="192"/>
      <c r="L293" s="192"/>
      <c r="N293" s="192"/>
      <c r="O293" s="396"/>
      <c r="Q293" s="396"/>
      <c r="R293" s="192"/>
      <c r="S293" s="192"/>
      <c r="T293" s="192"/>
      <c r="U293" s="340"/>
      <c r="V293" s="192"/>
    </row>
    <row r="294" spans="4:22" x14ac:dyDescent="0.15">
      <c r="D294" s="339"/>
      <c r="E294" s="192"/>
      <c r="H294" s="192"/>
      <c r="I294" s="192"/>
      <c r="J294" s="298"/>
      <c r="K294" s="192"/>
      <c r="L294" s="192"/>
      <c r="N294" s="192"/>
      <c r="O294" s="396"/>
      <c r="Q294" s="396"/>
      <c r="R294" s="192"/>
      <c r="S294" s="192"/>
      <c r="T294" s="192"/>
      <c r="U294" s="340"/>
      <c r="V294" s="192"/>
    </row>
    <row r="295" spans="4:22" x14ac:dyDescent="0.15">
      <c r="D295" s="339"/>
      <c r="E295" s="192"/>
      <c r="H295" s="192"/>
      <c r="I295" s="192"/>
      <c r="J295" s="298"/>
      <c r="K295" s="192"/>
      <c r="L295" s="192"/>
      <c r="N295" s="192"/>
      <c r="O295" s="396"/>
      <c r="Q295" s="396"/>
      <c r="R295" s="192"/>
      <c r="S295" s="192"/>
      <c r="T295" s="192"/>
      <c r="U295" s="340"/>
      <c r="V295" s="192"/>
    </row>
    <row r="296" spans="4:22" x14ac:dyDescent="0.15">
      <c r="D296" s="339"/>
      <c r="E296" s="192"/>
      <c r="H296" s="192"/>
      <c r="I296" s="192"/>
      <c r="J296" s="298"/>
      <c r="K296" s="192"/>
      <c r="L296" s="192"/>
      <c r="N296" s="192"/>
      <c r="O296" s="396"/>
      <c r="Q296" s="396"/>
      <c r="R296" s="192"/>
      <c r="S296" s="192"/>
      <c r="T296" s="192"/>
      <c r="U296" s="340"/>
      <c r="V296" s="192"/>
    </row>
    <row r="297" spans="4:22" x14ac:dyDescent="0.15">
      <c r="D297" s="339"/>
      <c r="E297" s="192"/>
      <c r="H297" s="192"/>
      <c r="I297" s="192"/>
      <c r="J297" s="298"/>
      <c r="K297" s="192"/>
      <c r="L297" s="192"/>
      <c r="N297" s="192"/>
      <c r="O297" s="396"/>
      <c r="Q297" s="396"/>
      <c r="R297" s="192"/>
      <c r="S297" s="192"/>
      <c r="T297" s="192"/>
      <c r="U297" s="340"/>
      <c r="V297" s="192"/>
    </row>
    <row r="298" spans="4:22" x14ac:dyDescent="0.15">
      <c r="D298" s="339"/>
      <c r="E298" s="192"/>
      <c r="H298" s="192"/>
      <c r="I298" s="192"/>
      <c r="J298" s="298"/>
      <c r="K298" s="192"/>
      <c r="L298" s="192"/>
      <c r="N298" s="192"/>
      <c r="O298" s="396"/>
      <c r="Q298" s="396"/>
      <c r="R298" s="192"/>
      <c r="S298" s="192"/>
      <c r="T298" s="192"/>
      <c r="U298" s="340"/>
      <c r="V298" s="192"/>
    </row>
    <row r="299" spans="4:22" x14ac:dyDescent="0.15">
      <c r="D299" s="339"/>
      <c r="E299" s="192"/>
      <c r="H299" s="192"/>
      <c r="I299" s="192"/>
      <c r="J299" s="298"/>
      <c r="K299" s="192"/>
      <c r="L299" s="192"/>
      <c r="N299" s="192"/>
      <c r="O299" s="396"/>
      <c r="Q299" s="396"/>
      <c r="R299" s="192"/>
      <c r="S299" s="192"/>
      <c r="T299" s="192"/>
      <c r="U299" s="340"/>
      <c r="V299" s="192"/>
    </row>
    <row r="300" spans="4:22" x14ac:dyDescent="0.15">
      <c r="D300" s="339"/>
      <c r="E300" s="192"/>
      <c r="H300" s="192"/>
      <c r="I300" s="192"/>
      <c r="J300" s="298"/>
      <c r="K300" s="192"/>
      <c r="L300" s="192"/>
      <c r="N300" s="192"/>
      <c r="O300" s="396"/>
      <c r="Q300" s="396"/>
      <c r="R300" s="192"/>
      <c r="S300" s="192"/>
      <c r="T300" s="192"/>
      <c r="U300" s="340"/>
      <c r="V300" s="192"/>
    </row>
    <row r="301" spans="4:22" x14ac:dyDescent="0.15">
      <c r="D301" s="339"/>
      <c r="E301" s="192"/>
      <c r="H301" s="192"/>
      <c r="I301" s="192"/>
      <c r="J301" s="298"/>
      <c r="K301" s="192"/>
      <c r="L301" s="192"/>
      <c r="N301" s="192"/>
      <c r="O301" s="396"/>
      <c r="Q301" s="396"/>
      <c r="R301" s="192"/>
      <c r="S301" s="192"/>
      <c r="T301" s="192"/>
      <c r="U301" s="340"/>
      <c r="V301" s="192"/>
    </row>
    <row r="302" spans="4:22" x14ac:dyDescent="0.15">
      <c r="D302" s="339"/>
      <c r="E302" s="192"/>
      <c r="H302" s="192"/>
      <c r="I302" s="192"/>
      <c r="J302" s="298"/>
      <c r="K302" s="192"/>
      <c r="L302" s="192"/>
      <c r="N302" s="192"/>
      <c r="O302" s="396"/>
      <c r="Q302" s="396"/>
      <c r="R302" s="192"/>
      <c r="S302" s="192"/>
      <c r="T302" s="192"/>
      <c r="U302" s="340"/>
      <c r="V302" s="192"/>
    </row>
    <row r="303" spans="4:22" x14ac:dyDescent="0.15">
      <c r="D303" s="339"/>
      <c r="E303" s="192"/>
      <c r="H303" s="192"/>
      <c r="I303" s="192"/>
      <c r="J303" s="298"/>
      <c r="K303" s="192"/>
      <c r="L303" s="192"/>
      <c r="N303" s="192"/>
      <c r="O303" s="396"/>
      <c r="Q303" s="396"/>
      <c r="R303" s="192"/>
      <c r="S303" s="192"/>
      <c r="T303" s="192"/>
      <c r="U303" s="340"/>
      <c r="V303" s="192"/>
    </row>
    <row r="304" spans="4:22" x14ac:dyDescent="0.15">
      <c r="D304" s="339"/>
      <c r="E304" s="192"/>
      <c r="H304" s="192"/>
      <c r="I304" s="192"/>
      <c r="J304" s="298"/>
      <c r="K304" s="192"/>
      <c r="L304" s="192"/>
      <c r="N304" s="192"/>
      <c r="O304" s="396"/>
      <c r="Q304" s="396"/>
      <c r="R304" s="192"/>
      <c r="S304" s="192"/>
      <c r="T304" s="192"/>
      <c r="U304" s="340"/>
      <c r="V304" s="192"/>
    </row>
    <row r="305" spans="4:22" x14ac:dyDescent="0.15">
      <c r="D305" s="339"/>
      <c r="E305" s="192"/>
      <c r="H305" s="192"/>
      <c r="I305" s="192"/>
      <c r="J305" s="298"/>
      <c r="K305" s="192"/>
      <c r="L305" s="192"/>
      <c r="N305" s="192"/>
      <c r="O305" s="396"/>
      <c r="Q305" s="396"/>
      <c r="R305" s="192"/>
      <c r="S305" s="192"/>
      <c r="T305" s="192"/>
      <c r="U305" s="340"/>
      <c r="V305" s="192"/>
    </row>
    <row r="306" spans="4:22" x14ac:dyDescent="0.15">
      <c r="D306" s="339"/>
      <c r="E306" s="192"/>
      <c r="H306" s="192"/>
      <c r="I306" s="192"/>
      <c r="J306" s="298"/>
      <c r="K306" s="192"/>
      <c r="L306" s="192"/>
      <c r="N306" s="192"/>
      <c r="O306" s="396"/>
      <c r="Q306" s="396"/>
      <c r="R306" s="192"/>
      <c r="S306" s="192"/>
      <c r="T306" s="192"/>
      <c r="U306" s="340"/>
      <c r="V306" s="192"/>
    </row>
    <row r="307" spans="4:22" x14ac:dyDescent="0.15">
      <c r="D307" s="339"/>
      <c r="E307" s="192"/>
      <c r="H307" s="192"/>
      <c r="I307" s="192"/>
      <c r="J307" s="298"/>
      <c r="K307" s="192"/>
      <c r="L307" s="192"/>
      <c r="N307" s="192"/>
      <c r="O307" s="396"/>
      <c r="Q307" s="396"/>
      <c r="R307" s="192"/>
      <c r="S307" s="192"/>
      <c r="T307" s="192"/>
      <c r="U307" s="340"/>
      <c r="V307" s="192"/>
    </row>
    <row r="308" spans="4:22" x14ac:dyDescent="0.15">
      <c r="D308" s="339"/>
      <c r="E308" s="192"/>
      <c r="H308" s="192"/>
      <c r="I308" s="192"/>
      <c r="J308" s="298"/>
      <c r="K308" s="192"/>
      <c r="L308" s="192"/>
      <c r="N308" s="192"/>
      <c r="O308" s="396"/>
      <c r="Q308" s="396"/>
      <c r="R308" s="192"/>
      <c r="S308" s="192"/>
      <c r="T308" s="192"/>
      <c r="U308" s="340"/>
      <c r="V308" s="192"/>
    </row>
    <row r="309" spans="4:22" x14ac:dyDescent="0.15">
      <c r="D309" s="339"/>
      <c r="E309" s="192"/>
      <c r="H309" s="192"/>
      <c r="I309" s="192"/>
      <c r="J309" s="298"/>
      <c r="K309" s="192"/>
      <c r="L309" s="192"/>
      <c r="N309" s="192"/>
      <c r="O309" s="396"/>
      <c r="Q309" s="396"/>
      <c r="R309" s="192"/>
      <c r="S309" s="192"/>
      <c r="T309" s="192"/>
      <c r="U309" s="340"/>
      <c r="V309" s="192"/>
    </row>
    <row r="310" spans="4:22" x14ac:dyDescent="0.15">
      <c r="D310" s="339"/>
      <c r="E310" s="192"/>
      <c r="H310" s="192"/>
      <c r="I310" s="192"/>
      <c r="J310" s="298"/>
      <c r="K310" s="192"/>
      <c r="L310" s="192"/>
      <c r="N310" s="192"/>
      <c r="O310" s="396"/>
      <c r="Q310" s="396"/>
      <c r="R310" s="192"/>
      <c r="S310" s="192"/>
      <c r="T310" s="192"/>
      <c r="U310" s="340"/>
      <c r="V310" s="192"/>
    </row>
    <row r="311" spans="4:22" x14ac:dyDescent="0.15">
      <c r="D311" s="339"/>
      <c r="E311" s="192"/>
      <c r="H311" s="192"/>
      <c r="I311" s="192"/>
      <c r="J311" s="298"/>
      <c r="K311" s="192"/>
      <c r="L311" s="192"/>
      <c r="N311" s="192"/>
      <c r="O311" s="396"/>
      <c r="Q311" s="396"/>
      <c r="R311" s="192"/>
      <c r="S311" s="192"/>
      <c r="T311" s="192"/>
      <c r="U311" s="340"/>
      <c r="V311" s="192"/>
    </row>
    <row r="312" spans="4:22" x14ac:dyDescent="0.15">
      <c r="D312" s="339"/>
      <c r="E312" s="192"/>
      <c r="H312" s="192"/>
      <c r="I312" s="192"/>
      <c r="J312" s="298"/>
      <c r="K312" s="192"/>
      <c r="L312" s="192"/>
      <c r="N312" s="192"/>
      <c r="O312" s="396"/>
      <c r="Q312" s="396"/>
      <c r="R312" s="192"/>
      <c r="S312" s="192"/>
      <c r="T312" s="192"/>
      <c r="U312" s="340"/>
      <c r="V312" s="192"/>
    </row>
    <row r="313" spans="4:22" x14ac:dyDescent="0.15">
      <c r="D313" s="339"/>
      <c r="E313" s="192"/>
      <c r="H313" s="192"/>
      <c r="I313" s="192"/>
      <c r="J313" s="298"/>
      <c r="K313" s="192"/>
      <c r="L313" s="192"/>
      <c r="N313" s="192"/>
      <c r="O313" s="396"/>
      <c r="Q313" s="396"/>
      <c r="R313" s="192"/>
      <c r="S313" s="192"/>
      <c r="T313" s="192"/>
      <c r="U313" s="340"/>
      <c r="V313" s="192"/>
    </row>
    <row r="314" spans="4:22" x14ac:dyDescent="0.15">
      <c r="D314" s="339"/>
      <c r="E314" s="192"/>
      <c r="H314" s="192"/>
      <c r="I314" s="192"/>
      <c r="J314" s="298"/>
      <c r="K314" s="192"/>
      <c r="L314" s="192"/>
      <c r="N314" s="192"/>
      <c r="O314" s="396"/>
      <c r="Q314" s="396"/>
      <c r="R314" s="192"/>
      <c r="S314" s="192"/>
      <c r="T314" s="192"/>
      <c r="U314" s="340"/>
      <c r="V314" s="192"/>
    </row>
    <row r="315" spans="4:22" x14ac:dyDescent="0.15">
      <c r="D315" s="339"/>
      <c r="E315" s="192"/>
      <c r="H315" s="192"/>
      <c r="I315" s="192"/>
      <c r="J315" s="298"/>
      <c r="K315" s="192"/>
      <c r="L315" s="192"/>
      <c r="N315" s="192"/>
      <c r="O315" s="396"/>
      <c r="Q315" s="396"/>
      <c r="R315" s="192"/>
      <c r="S315" s="192"/>
      <c r="T315" s="192"/>
      <c r="U315" s="340"/>
      <c r="V315" s="192"/>
    </row>
    <row r="316" spans="4:22" x14ac:dyDescent="0.15">
      <c r="D316" s="339"/>
      <c r="E316" s="192"/>
      <c r="H316" s="192"/>
      <c r="I316" s="192"/>
      <c r="J316" s="298"/>
      <c r="K316" s="192"/>
      <c r="L316" s="192"/>
      <c r="N316" s="192"/>
      <c r="O316" s="396"/>
      <c r="Q316" s="396"/>
      <c r="R316" s="192"/>
      <c r="S316" s="192"/>
      <c r="T316" s="192"/>
      <c r="U316" s="340"/>
      <c r="V316" s="192"/>
    </row>
    <row r="317" spans="4:22" x14ac:dyDescent="0.15">
      <c r="D317" s="339"/>
      <c r="E317" s="192"/>
      <c r="H317" s="192"/>
      <c r="I317" s="192"/>
      <c r="J317" s="298"/>
      <c r="K317" s="192"/>
      <c r="L317" s="192"/>
      <c r="N317" s="192"/>
      <c r="O317" s="396"/>
      <c r="Q317" s="396"/>
      <c r="R317" s="192"/>
      <c r="S317" s="192"/>
      <c r="T317" s="192"/>
      <c r="U317" s="340"/>
      <c r="V317" s="192"/>
    </row>
    <row r="318" spans="4:22" x14ac:dyDescent="0.15">
      <c r="D318" s="339"/>
      <c r="E318" s="192"/>
      <c r="H318" s="192"/>
      <c r="I318" s="192"/>
      <c r="J318" s="298"/>
      <c r="K318" s="192"/>
      <c r="L318" s="192"/>
      <c r="N318" s="192"/>
      <c r="O318" s="396"/>
      <c r="Q318" s="396"/>
      <c r="R318" s="192"/>
      <c r="S318" s="192"/>
      <c r="T318" s="192"/>
      <c r="U318" s="340"/>
      <c r="V318" s="192"/>
    </row>
    <row r="319" spans="4:22" x14ac:dyDescent="0.15">
      <c r="D319" s="339"/>
      <c r="E319" s="192"/>
      <c r="H319" s="192"/>
      <c r="I319" s="192"/>
      <c r="J319" s="298"/>
      <c r="K319" s="192"/>
      <c r="L319" s="192"/>
      <c r="N319" s="192"/>
      <c r="O319" s="396"/>
      <c r="Q319" s="396"/>
      <c r="R319" s="192"/>
      <c r="S319" s="192"/>
      <c r="T319" s="192"/>
      <c r="U319" s="340"/>
      <c r="V319" s="192"/>
    </row>
    <row r="320" spans="4:22" x14ac:dyDescent="0.15">
      <c r="D320" s="339"/>
      <c r="E320" s="192"/>
      <c r="H320" s="192"/>
      <c r="I320" s="192"/>
      <c r="J320" s="298"/>
      <c r="K320" s="192"/>
      <c r="L320" s="192"/>
      <c r="N320" s="192"/>
      <c r="O320" s="396"/>
      <c r="Q320" s="396"/>
      <c r="R320" s="192"/>
      <c r="S320" s="192"/>
      <c r="T320" s="192"/>
      <c r="U320" s="340"/>
      <c r="V320" s="192"/>
    </row>
    <row r="321" spans="4:22" x14ac:dyDescent="0.15">
      <c r="D321" s="339"/>
      <c r="E321" s="192"/>
      <c r="H321" s="192"/>
      <c r="I321" s="192"/>
      <c r="J321" s="298"/>
      <c r="K321" s="192"/>
      <c r="L321" s="192"/>
      <c r="N321" s="192"/>
      <c r="O321" s="396"/>
      <c r="Q321" s="396"/>
      <c r="R321" s="192"/>
      <c r="S321" s="192"/>
      <c r="T321" s="192"/>
      <c r="U321" s="340"/>
      <c r="V321" s="192"/>
    </row>
    <row r="322" spans="4:22" x14ac:dyDescent="0.15">
      <c r="D322" s="339"/>
      <c r="E322" s="192"/>
      <c r="H322" s="192"/>
      <c r="I322" s="192"/>
      <c r="J322" s="298"/>
      <c r="K322" s="192"/>
      <c r="L322" s="192"/>
      <c r="N322" s="192"/>
      <c r="O322" s="396"/>
      <c r="Q322" s="396"/>
      <c r="R322" s="192"/>
      <c r="S322" s="192"/>
      <c r="T322" s="192"/>
      <c r="U322" s="340"/>
      <c r="V322" s="192"/>
    </row>
    <row r="323" spans="4:22" x14ac:dyDescent="0.15">
      <c r="D323" s="339"/>
      <c r="E323" s="192"/>
      <c r="H323" s="192"/>
      <c r="I323" s="192"/>
      <c r="J323" s="298"/>
      <c r="K323" s="192"/>
      <c r="L323" s="192"/>
      <c r="N323" s="192"/>
      <c r="O323" s="396"/>
      <c r="Q323" s="396"/>
      <c r="R323" s="192"/>
      <c r="S323" s="192"/>
      <c r="T323" s="192"/>
      <c r="U323" s="340"/>
      <c r="V323" s="192"/>
    </row>
    <row r="324" spans="4:22" x14ac:dyDescent="0.15">
      <c r="D324" s="339"/>
      <c r="E324" s="192"/>
      <c r="H324" s="192"/>
      <c r="I324" s="192"/>
      <c r="J324" s="298"/>
      <c r="K324" s="192"/>
      <c r="L324" s="192"/>
      <c r="N324" s="192"/>
      <c r="O324" s="396"/>
      <c r="Q324" s="396"/>
      <c r="R324" s="192"/>
      <c r="S324" s="192"/>
      <c r="T324" s="192"/>
      <c r="U324" s="340"/>
      <c r="V324" s="192"/>
    </row>
    <row r="325" spans="4:22" x14ac:dyDescent="0.15">
      <c r="D325" s="339"/>
      <c r="E325" s="192"/>
      <c r="H325" s="192"/>
      <c r="I325" s="192"/>
      <c r="J325" s="298"/>
      <c r="K325" s="192"/>
      <c r="L325" s="192"/>
      <c r="N325" s="192"/>
      <c r="O325" s="396"/>
      <c r="Q325" s="396"/>
      <c r="R325" s="192"/>
      <c r="S325" s="192"/>
      <c r="T325" s="192"/>
      <c r="U325" s="340"/>
      <c r="V325" s="192"/>
    </row>
    <row r="326" spans="4:22" x14ac:dyDescent="0.15">
      <c r="D326" s="339"/>
      <c r="E326" s="192"/>
      <c r="H326" s="192"/>
      <c r="I326" s="192"/>
      <c r="J326" s="298"/>
      <c r="K326" s="192"/>
      <c r="L326" s="192"/>
      <c r="N326" s="192"/>
      <c r="O326" s="396"/>
      <c r="Q326" s="396"/>
      <c r="R326" s="192"/>
      <c r="S326" s="192"/>
      <c r="T326" s="192"/>
      <c r="U326" s="340"/>
      <c r="V326" s="192"/>
    </row>
    <row r="327" spans="4:22" x14ac:dyDescent="0.15">
      <c r="D327" s="339"/>
      <c r="E327" s="192"/>
      <c r="H327" s="192"/>
      <c r="I327" s="192"/>
      <c r="J327" s="298"/>
      <c r="K327" s="192"/>
      <c r="L327" s="192"/>
      <c r="N327" s="192"/>
      <c r="O327" s="396"/>
      <c r="Q327" s="396"/>
      <c r="R327" s="192"/>
      <c r="S327" s="192"/>
      <c r="T327" s="192"/>
      <c r="U327" s="340"/>
      <c r="V327" s="192"/>
    </row>
    <row r="328" spans="4:22" x14ac:dyDescent="0.15">
      <c r="D328" s="339"/>
      <c r="E328" s="192"/>
      <c r="H328" s="192"/>
      <c r="I328" s="192"/>
      <c r="J328" s="298"/>
      <c r="K328" s="192"/>
      <c r="L328" s="192"/>
      <c r="N328" s="192"/>
      <c r="O328" s="396"/>
      <c r="Q328" s="396"/>
      <c r="R328" s="192"/>
      <c r="S328" s="192"/>
      <c r="T328" s="192"/>
      <c r="U328" s="340"/>
      <c r="V328" s="192"/>
    </row>
    <row r="329" spans="4:22" x14ac:dyDescent="0.15">
      <c r="D329" s="339"/>
      <c r="E329" s="192"/>
      <c r="H329" s="192"/>
      <c r="I329" s="192"/>
      <c r="J329" s="298"/>
      <c r="K329" s="192"/>
      <c r="L329" s="192"/>
      <c r="N329" s="192"/>
      <c r="O329" s="396"/>
      <c r="Q329" s="396"/>
      <c r="R329" s="192"/>
      <c r="S329" s="192"/>
      <c r="T329" s="192"/>
      <c r="U329" s="340"/>
      <c r="V329" s="192"/>
    </row>
    <row r="330" spans="4:22" x14ac:dyDescent="0.15">
      <c r="D330" s="339"/>
      <c r="E330" s="192"/>
      <c r="H330" s="192"/>
      <c r="I330" s="192"/>
      <c r="J330" s="298"/>
      <c r="K330" s="192"/>
      <c r="L330" s="192"/>
      <c r="N330" s="192"/>
      <c r="O330" s="396"/>
      <c r="Q330" s="396"/>
      <c r="R330" s="192"/>
      <c r="S330" s="192"/>
      <c r="T330" s="192"/>
      <c r="U330" s="340"/>
      <c r="V330" s="192"/>
    </row>
    <row r="331" spans="4:22" x14ac:dyDescent="0.15">
      <c r="D331" s="339"/>
      <c r="E331" s="192"/>
      <c r="H331" s="192"/>
      <c r="I331" s="192"/>
      <c r="J331" s="298"/>
      <c r="K331" s="192"/>
      <c r="L331" s="192"/>
      <c r="N331" s="192"/>
      <c r="O331" s="396"/>
      <c r="Q331" s="396"/>
      <c r="R331" s="192"/>
      <c r="S331" s="192"/>
      <c r="T331" s="192"/>
      <c r="U331" s="340"/>
      <c r="V331" s="192"/>
    </row>
    <row r="332" spans="4:22" x14ac:dyDescent="0.15">
      <c r="D332" s="339"/>
      <c r="E332" s="192"/>
      <c r="H332" s="192"/>
      <c r="I332" s="192"/>
      <c r="J332" s="298"/>
      <c r="K332" s="192"/>
      <c r="L332" s="192"/>
      <c r="N332" s="192"/>
      <c r="O332" s="396"/>
      <c r="Q332" s="396"/>
      <c r="R332" s="192"/>
      <c r="S332" s="192"/>
      <c r="T332" s="192"/>
      <c r="U332" s="340"/>
      <c r="V332" s="192"/>
    </row>
    <row r="333" spans="4:22" x14ac:dyDescent="0.15">
      <c r="D333" s="339"/>
      <c r="E333" s="192"/>
      <c r="H333" s="192"/>
      <c r="I333" s="192"/>
      <c r="J333" s="298"/>
      <c r="K333" s="192"/>
      <c r="L333" s="192"/>
      <c r="N333" s="192"/>
      <c r="O333" s="396"/>
      <c r="Q333" s="396"/>
      <c r="R333" s="192"/>
      <c r="S333" s="192"/>
      <c r="T333" s="192"/>
      <c r="U333" s="340"/>
      <c r="V333" s="192"/>
    </row>
    <row r="334" spans="4:22" x14ac:dyDescent="0.15">
      <c r="D334" s="339"/>
      <c r="E334" s="192"/>
      <c r="H334" s="192"/>
      <c r="I334" s="192"/>
      <c r="J334" s="298"/>
      <c r="K334" s="192"/>
      <c r="L334" s="192"/>
      <c r="N334" s="192"/>
      <c r="O334" s="396"/>
      <c r="Q334" s="396"/>
      <c r="R334" s="192"/>
      <c r="S334" s="192"/>
      <c r="T334" s="192"/>
      <c r="U334" s="340"/>
      <c r="V334" s="192"/>
    </row>
    <row r="335" spans="4:22" x14ac:dyDescent="0.15">
      <c r="D335" s="339"/>
      <c r="E335" s="192"/>
      <c r="H335" s="192"/>
      <c r="I335" s="192"/>
      <c r="J335" s="298"/>
      <c r="K335" s="192"/>
      <c r="L335" s="192"/>
      <c r="N335" s="192"/>
      <c r="O335" s="396"/>
      <c r="Q335" s="396"/>
      <c r="R335" s="192"/>
      <c r="S335" s="192"/>
      <c r="T335" s="192"/>
      <c r="U335" s="340"/>
      <c r="V335" s="192"/>
    </row>
    <row r="336" spans="4:22" x14ac:dyDescent="0.15">
      <c r="D336" s="339"/>
      <c r="E336" s="192"/>
      <c r="H336" s="192"/>
      <c r="I336" s="192"/>
      <c r="J336" s="298"/>
      <c r="K336" s="192"/>
      <c r="L336" s="192"/>
      <c r="N336" s="192"/>
      <c r="O336" s="396"/>
      <c r="Q336" s="396"/>
      <c r="R336" s="192"/>
      <c r="S336" s="192"/>
      <c r="T336" s="192"/>
      <c r="U336" s="340"/>
      <c r="V336" s="192"/>
    </row>
    <row r="337" spans="4:22" x14ac:dyDescent="0.15">
      <c r="D337" s="339"/>
      <c r="E337" s="192"/>
      <c r="H337" s="192"/>
      <c r="I337" s="192"/>
      <c r="J337" s="298"/>
      <c r="K337" s="192"/>
      <c r="L337" s="192"/>
      <c r="N337" s="192"/>
      <c r="O337" s="396"/>
      <c r="Q337" s="396"/>
      <c r="R337" s="192"/>
      <c r="S337" s="192"/>
      <c r="T337" s="192"/>
      <c r="U337" s="340"/>
      <c r="V337" s="192"/>
    </row>
    <row r="338" spans="4:22" x14ac:dyDescent="0.15">
      <c r="D338" s="339"/>
      <c r="E338" s="192"/>
      <c r="H338" s="192"/>
      <c r="I338" s="192"/>
      <c r="J338" s="298"/>
      <c r="K338" s="192"/>
      <c r="L338" s="192"/>
      <c r="N338" s="192"/>
      <c r="O338" s="396"/>
      <c r="Q338" s="396"/>
      <c r="R338" s="192"/>
      <c r="S338" s="192"/>
      <c r="T338" s="192"/>
      <c r="U338" s="340"/>
      <c r="V338" s="192"/>
    </row>
    <row r="339" spans="4:22" x14ac:dyDescent="0.15">
      <c r="D339" s="339"/>
      <c r="E339" s="192"/>
      <c r="H339" s="192"/>
      <c r="I339" s="192"/>
      <c r="J339" s="298"/>
      <c r="K339" s="192"/>
      <c r="L339" s="192"/>
      <c r="N339" s="192"/>
      <c r="O339" s="396"/>
      <c r="Q339" s="396"/>
      <c r="R339" s="192"/>
      <c r="S339" s="192"/>
      <c r="T339" s="192"/>
      <c r="U339" s="340"/>
      <c r="V339" s="192"/>
    </row>
    <row r="340" spans="4:22" x14ac:dyDescent="0.15">
      <c r="D340" s="339"/>
      <c r="E340" s="192"/>
      <c r="H340" s="192"/>
      <c r="I340" s="192"/>
      <c r="J340" s="298"/>
      <c r="K340" s="192"/>
      <c r="L340" s="192"/>
      <c r="N340" s="192"/>
      <c r="O340" s="396"/>
      <c r="Q340" s="396"/>
      <c r="R340" s="192"/>
      <c r="S340" s="192"/>
      <c r="T340" s="192"/>
      <c r="U340" s="340"/>
      <c r="V340" s="192"/>
    </row>
    <row r="341" spans="4:22" x14ac:dyDescent="0.15">
      <c r="D341" s="339"/>
      <c r="E341" s="192"/>
      <c r="H341" s="192"/>
      <c r="I341" s="192"/>
      <c r="J341" s="298"/>
      <c r="K341" s="192"/>
      <c r="L341" s="192"/>
      <c r="N341" s="192"/>
      <c r="O341" s="396"/>
      <c r="Q341" s="396"/>
      <c r="R341" s="192"/>
      <c r="S341" s="192"/>
      <c r="T341" s="192"/>
      <c r="U341" s="340"/>
      <c r="V341" s="192"/>
    </row>
    <row r="342" spans="4:22" x14ac:dyDescent="0.15">
      <c r="D342" s="339"/>
      <c r="E342" s="192"/>
      <c r="H342" s="192"/>
      <c r="I342" s="192"/>
      <c r="J342" s="298"/>
      <c r="K342" s="192"/>
      <c r="L342" s="192"/>
      <c r="N342" s="192"/>
      <c r="O342" s="396"/>
      <c r="Q342" s="396"/>
      <c r="R342" s="192"/>
      <c r="S342" s="192"/>
      <c r="T342" s="192"/>
      <c r="U342" s="340"/>
      <c r="V342" s="192"/>
    </row>
    <row r="343" spans="4:22" x14ac:dyDescent="0.15">
      <c r="D343" s="339"/>
      <c r="E343" s="192"/>
      <c r="H343" s="192"/>
      <c r="I343" s="192"/>
      <c r="J343" s="298"/>
      <c r="K343" s="192"/>
      <c r="L343" s="192"/>
      <c r="N343" s="192"/>
      <c r="O343" s="396"/>
      <c r="Q343" s="396"/>
      <c r="R343" s="192"/>
      <c r="S343" s="192"/>
      <c r="T343" s="192"/>
      <c r="U343" s="340"/>
      <c r="V343" s="192"/>
    </row>
    <row r="344" spans="4:22" x14ac:dyDescent="0.15">
      <c r="D344" s="339"/>
      <c r="E344" s="192"/>
      <c r="H344" s="192"/>
      <c r="I344" s="192"/>
      <c r="J344" s="298"/>
      <c r="K344" s="192"/>
      <c r="L344" s="192"/>
      <c r="N344" s="192"/>
      <c r="O344" s="396"/>
      <c r="Q344" s="396"/>
      <c r="R344" s="192"/>
      <c r="S344" s="192"/>
      <c r="T344" s="192"/>
      <c r="U344" s="340"/>
      <c r="V344" s="192"/>
    </row>
    <row r="345" spans="4:22" x14ac:dyDescent="0.15">
      <c r="D345" s="339"/>
      <c r="E345" s="192"/>
      <c r="H345" s="192"/>
      <c r="I345" s="192"/>
      <c r="J345" s="298"/>
      <c r="K345" s="192"/>
      <c r="L345" s="192"/>
      <c r="N345" s="192"/>
      <c r="O345" s="396"/>
      <c r="Q345" s="396"/>
      <c r="R345" s="192"/>
      <c r="S345" s="192"/>
      <c r="T345" s="192"/>
      <c r="U345" s="340"/>
      <c r="V345" s="192"/>
    </row>
    <row r="346" spans="4:22" x14ac:dyDescent="0.15">
      <c r="D346" s="339"/>
      <c r="E346" s="192"/>
      <c r="H346" s="192"/>
      <c r="I346" s="192"/>
      <c r="J346" s="298"/>
      <c r="K346" s="192"/>
      <c r="L346" s="192"/>
      <c r="N346" s="192"/>
      <c r="O346" s="396"/>
      <c r="Q346" s="396"/>
      <c r="R346" s="192"/>
      <c r="S346" s="192"/>
      <c r="T346" s="192"/>
      <c r="U346" s="340"/>
      <c r="V346" s="192"/>
    </row>
    <row r="347" spans="4:22" x14ac:dyDescent="0.15">
      <c r="D347" s="339"/>
      <c r="E347" s="192"/>
      <c r="H347" s="192"/>
      <c r="I347" s="192"/>
      <c r="J347" s="298"/>
      <c r="K347" s="192"/>
      <c r="L347" s="192"/>
      <c r="N347" s="192"/>
      <c r="O347" s="396"/>
      <c r="Q347" s="396"/>
      <c r="R347" s="192"/>
      <c r="S347" s="192"/>
      <c r="T347" s="192"/>
      <c r="U347" s="340"/>
      <c r="V347" s="192"/>
    </row>
    <row r="348" spans="4:22" x14ac:dyDescent="0.15">
      <c r="D348" s="339"/>
      <c r="E348" s="192"/>
      <c r="H348" s="192"/>
      <c r="I348" s="192"/>
      <c r="J348" s="298"/>
      <c r="K348" s="192"/>
      <c r="L348" s="192"/>
      <c r="N348" s="192"/>
      <c r="O348" s="396"/>
      <c r="Q348" s="396"/>
      <c r="R348" s="192"/>
      <c r="S348" s="192"/>
      <c r="T348" s="192"/>
      <c r="U348" s="340"/>
      <c r="V348" s="192"/>
    </row>
    <row r="349" spans="4:22" x14ac:dyDescent="0.15">
      <c r="D349" s="339"/>
      <c r="E349" s="192"/>
      <c r="H349" s="192"/>
      <c r="I349" s="192"/>
      <c r="J349" s="298"/>
      <c r="K349" s="192"/>
      <c r="L349" s="192"/>
      <c r="N349" s="192"/>
      <c r="O349" s="396"/>
      <c r="Q349" s="396"/>
      <c r="R349" s="192"/>
      <c r="S349" s="192"/>
      <c r="T349" s="192"/>
      <c r="U349" s="340"/>
      <c r="V349" s="192"/>
    </row>
    <row r="350" spans="4:22" x14ac:dyDescent="0.15">
      <c r="D350" s="339"/>
      <c r="E350" s="192"/>
      <c r="H350" s="192"/>
      <c r="I350" s="192"/>
      <c r="J350" s="298"/>
      <c r="K350" s="192"/>
      <c r="L350" s="192"/>
      <c r="N350" s="192"/>
      <c r="O350" s="396"/>
      <c r="Q350" s="396"/>
      <c r="R350" s="192"/>
      <c r="S350" s="192"/>
      <c r="T350" s="192"/>
      <c r="U350" s="340"/>
      <c r="V350" s="192"/>
    </row>
    <row r="351" spans="4:22" x14ac:dyDescent="0.15">
      <c r="D351" s="339"/>
      <c r="E351" s="192"/>
      <c r="H351" s="192"/>
      <c r="I351" s="192"/>
      <c r="J351" s="298"/>
      <c r="K351" s="192"/>
      <c r="L351" s="192"/>
      <c r="N351" s="192"/>
      <c r="O351" s="396"/>
      <c r="Q351" s="396"/>
      <c r="R351" s="192"/>
      <c r="S351" s="192"/>
      <c r="T351" s="192"/>
      <c r="U351" s="340"/>
      <c r="V351" s="192"/>
    </row>
    <row r="352" spans="4:22" x14ac:dyDescent="0.15">
      <c r="D352" s="339"/>
      <c r="E352" s="192"/>
      <c r="H352" s="192"/>
      <c r="I352" s="192"/>
      <c r="J352" s="298"/>
      <c r="K352" s="192"/>
      <c r="L352" s="192"/>
      <c r="N352" s="192"/>
      <c r="O352" s="396"/>
      <c r="Q352" s="396"/>
      <c r="R352" s="192"/>
      <c r="S352" s="192"/>
      <c r="T352" s="192"/>
      <c r="U352" s="340"/>
      <c r="V352" s="192"/>
    </row>
    <row r="353" spans="4:22" x14ac:dyDescent="0.15">
      <c r="D353" s="339"/>
      <c r="E353" s="192"/>
      <c r="H353" s="192"/>
      <c r="I353" s="192"/>
      <c r="J353" s="298"/>
      <c r="K353" s="192"/>
      <c r="L353" s="192"/>
      <c r="N353" s="192"/>
      <c r="O353" s="396"/>
      <c r="Q353" s="396"/>
      <c r="R353" s="192"/>
      <c r="S353" s="192"/>
      <c r="T353" s="192"/>
      <c r="U353" s="340"/>
      <c r="V353" s="192"/>
    </row>
    <row r="354" spans="4:22" x14ac:dyDescent="0.15">
      <c r="D354" s="339"/>
      <c r="E354" s="192"/>
      <c r="H354" s="192"/>
      <c r="I354" s="192"/>
      <c r="J354" s="298"/>
      <c r="K354" s="192"/>
      <c r="L354" s="192"/>
      <c r="N354" s="192"/>
      <c r="O354" s="396"/>
      <c r="Q354" s="396"/>
      <c r="R354" s="192"/>
      <c r="S354" s="192"/>
      <c r="T354" s="192"/>
      <c r="U354" s="340"/>
      <c r="V354" s="192"/>
    </row>
    <row r="355" spans="4:22" x14ac:dyDescent="0.15">
      <c r="D355" s="339"/>
      <c r="E355" s="192"/>
      <c r="H355" s="192"/>
      <c r="I355" s="192"/>
      <c r="J355" s="298"/>
      <c r="K355" s="192"/>
      <c r="L355" s="192"/>
      <c r="N355" s="192"/>
      <c r="O355" s="396"/>
      <c r="Q355" s="396"/>
      <c r="R355" s="192"/>
      <c r="S355" s="192"/>
      <c r="T355" s="192"/>
      <c r="U355" s="340"/>
      <c r="V355" s="192"/>
    </row>
    <row r="356" spans="4:22" x14ac:dyDescent="0.15">
      <c r="D356" s="339"/>
      <c r="E356" s="192"/>
      <c r="H356" s="192"/>
      <c r="I356" s="192"/>
      <c r="J356" s="298"/>
      <c r="K356" s="192"/>
      <c r="L356" s="192"/>
      <c r="N356" s="192"/>
      <c r="O356" s="396"/>
      <c r="Q356" s="396"/>
      <c r="R356" s="192"/>
      <c r="S356" s="192"/>
      <c r="T356" s="192"/>
      <c r="U356" s="340"/>
      <c r="V356" s="192"/>
    </row>
    <row r="357" spans="4:22" x14ac:dyDescent="0.15">
      <c r="D357" s="339"/>
      <c r="E357" s="192"/>
      <c r="H357" s="192"/>
      <c r="I357" s="192"/>
      <c r="J357" s="298"/>
      <c r="K357" s="192"/>
      <c r="L357" s="192"/>
      <c r="N357" s="192"/>
      <c r="O357" s="396"/>
      <c r="Q357" s="396"/>
      <c r="R357" s="192"/>
      <c r="S357" s="192"/>
      <c r="T357" s="192"/>
      <c r="U357" s="340"/>
      <c r="V357" s="192"/>
    </row>
    <row r="358" spans="4:22" x14ac:dyDescent="0.15">
      <c r="D358" s="339"/>
      <c r="E358" s="192"/>
      <c r="H358" s="192"/>
      <c r="I358" s="192"/>
      <c r="J358" s="298"/>
      <c r="K358" s="192"/>
      <c r="L358" s="192"/>
      <c r="N358" s="192"/>
      <c r="O358" s="396"/>
      <c r="Q358" s="396"/>
      <c r="R358" s="192"/>
      <c r="S358" s="192"/>
      <c r="T358" s="192"/>
      <c r="U358" s="340"/>
      <c r="V358" s="192"/>
    </row>
    <row r="359" spans="4:22" x14ac:dyDescent="0.15">
      <c r="D359" s="339"/>
      <c r="E359" s="192"/>
      <c r="H359" s="192"/>
      <c r="I359" s="192"/>
      <c r="J359" s="298"/>
      <c r="K359" s="192"/>
      <c r="L359" s="192"/>
      <c r="N359" s="192"/>
      <c r="O359" s="396"/>
      <c r="Q359" s="396"/>
      <c r="R359" s="192"/>
      <c r="S359" s="192"/>
      <c r="T359" s="192"/>
      <c r="U359" s="340"/>
      <c r="V359" s="192"/>
    </row>
    <row r="360" spans="4:22" x14ac:dyDescent="0.15">
      <c r="D360" s="339"/>
      <c r="E360" s="192"/>
      <c r="H360" s="192"/>
      <c r="I360" s="192"/>
      <c r="J360" s="298"/>
      <c r="K360" s="192"/>
      <c r="L360" s="192"/>
      <c r="N360" s="192"/>
      <c r="O360" s="396"/>
      <c r="Q360" s="396"/>
      <c r="R360" s="192"/>
      <c r="S360" s="192"/>
      <c r="T360" s="192"/>
      <c r="U360" s="340"/>
      <c r="V360" s="192"/>
    </row>
    <row r="361" spans="4:22" x14ac:dyDescent="0.15">
      <c r="D361" s="339"/>
      <c r="E361" s="192"/>
      <c r="H361" s="192"/>
      <c r="I361" s="192"/>
      <c r="J361" s="298"/>
      <c r="K361" s="192"/>
      <c r="L361" s="192"/>
      <c r="N361" s="192"/>
      <c r="O361" s="396"/>
      <c r="Q361" s="396"/>
      <c r="R361" s="192"/>
      <c r="S361" s="192"/>
      <c r="T361" s="192"/>
      <c r="U361" s="340"/>
      <c r="V361" s="192"/>
    </row>
    <row r="362" spans="4:22" x14ac:dyDescent="0.15">
      <c r="D362" s="339"/>
      <c r="E362" s="192"/>
      <c r="H362" s="192"/>
      <c r="I362" s="192"/>
      <c r="J362" s="298"/>
      <c r="K362" s="192"/>
      <c r="L362" s="192"/>
      <c r="N362" s="192"/>
      <c r="O362" s="396"/>
      <c r="Q362" s="396"/>
      <c r="R362" s="192"/>
      <c r="S362" s="192"/>
      <c r="T362" s="192"/>
      <c r="U362" s="340"/>
      <c r="V362" s="192"/>
    </row>
    <row r="363" spans="4:22" x14ac:dyDescent="0.15">
      <c r="D363" s="339"/>
      <c r="E363" s="192"/>
      <c r="H363" s="192"/>
      <c r="I363" s="192"/>
      <c r="J363" s="298"/>
      <c r="K363" s="192"/>
      <c r="L363" s="192"/>
      <c r="N363" s="192"/>
      <c r="O363" s="396"/>
      <c r="Q363" s="396"/>
      <c r="R363" s="192"/>
      <c r="S363" s="192"/>
      <c r="T363" s="192"/>
      <c r="U363" s="340"/>
      <c r="V363" s="192"/>
    </row>
    <row r="364" spans="4:22" x14ac:dyDescent="0.15">
      <c r="D364" s="339"/>
      <c r="E364" s="192"/>
      <c r="H364" s="192"/>
      <c r="I364" s="192"/>
      <c r="J364" s="298"/>
      <c r="K364" s="192"/>
      <c r="L364" s="192"/>
      <c r="N364" s="192"/>
      <c r="O364" s="396"/>
      <c r="Q364" s="396"/>
      <c r="R364" s="192"/>
      <c r="S364" s="192"/>
      <c r="T364" s="192"/>
      <c r="U364" s="340"/>
      <c r="V364" s="192"/>
    </row>
    <row r="365" spans="4:22" x14ac:dyDescent="0.15">
      <c r="D365" s="339"/>
      <c r="E365" s="192"/>
      <c r="H365" s="192"/>
      <c r="I365" s="192"/>
      <c r="J365" s="298"/>
      <c r="K365" s="192"/>
      <c r="L365" s="192"/>
      <c r="N365" s="192"/>
      <c r="O365" s="396"/>
      <c r="Q365" s="396"/>
      <c r="R365" s="192"/>
      <c r="S365" s="192"/>
      <c r="T365" s="192"/>
      <c r="U365" s="340"/>
      <c r="V365" s="192"/>
    </row>
    <row r="366" spans="4:22" x14ac:dyDescent="0.15">
      <c r="D366" s="339"/>
      <c r="E366" s="192"/>
      <c r="H366" s="192"/>
      <c r="I366" s="192"/>
      <c r="J366" s="298"/>
      <c r="K366" s="192"/>
      <c r="L366" s="192"/>
      <c r="N366" s="192"/>
      <c r="O366" s="396"/>
      <c r="Q366" s="396"/>
      <c r="R366" s="192"/>
      <c r="S366" s="192"/>
      <c r="T366" s="192"/>
      <c r="U366" s="340"/>
      <c r="V366" s="192"/>
    </row>
    <row r="367" spans="4:22" x14ac:dyDescent="0.15">
      <c r="D367" s="339"/>
      <c r="E367" s="192"/>
      <c r="H367" s="192"/>
      <c r="I367" s="192"/>
      <c r="J367" s="298"/>
      <c r="K367" s="192"/>
      <c r="L367" s="192"/>
      <c r="N367" s="192"/>
      <c r="O367" s="396"/>
      <c r="Q367" s="396"/>
      <c r="R367" s="192"/>
      <c r="S367" s="192"/>
      <c r="T367" s="192"/>
      <c r="U367" s="340"/>
      <c r="V367" s="192"/>
    </row>
    <row r="368" spans="4:22" x14ac:dyDescent="0.15">
      <c r="D368" s="339"/>
      <c r="E368" s="192"/>
      <c r="H368" s="192"/>
      <c r="I368" s="192"/>
      <c r="J368" s="298"/>
      <c r="K368" s="192"/>
      <c r="L368" s="192"/>
      <c r="N368" s="192"/>
      <c r="O368" s="396"/>
      <c r="Q368" s="396"/>
      <c r="R368" s="192"/>
      <c r="S368" s="192"/>
      <c r="T368" s="192"/>
      <c r="U368" s="340"/>
      <c r="V368" s="192"/>
    </row>
    <row r="369" spans="4:22" x14ac:dyDescent="0.15">
      <c r="D369" s="339"/>
      <c r="E369" s="192"/>
      <c r="H369" s="192"/>
      <c r="I369" s="192"/>
      <c r="J369" s="298"/>
      <c r="K369" s="192"/>
      <c r="L369" s="192"/>
      <c r="N369" s="192"/>
      <c r="O369" s="396"/>
      <c r="Q369" s="396"/>
      <c r="R369" s="192"/>
      <c r="S369" s="192"/>
      <c r="T369" s="192"/>
      <c r="U369" s="340"/>
      <c r="V369" s="192"/>
    </row>
    <row r="370" spans="4:22" x14ac:dyDescent="0.15">
      <c r="D370" s="339"/>
      <c r="E370" s="192"/>
      <c r="H370" s="192"/>
      <c r="I370" s="192"/>
      <c r="J370" s="298"/>
      <c r="K370" s="192"/>
      <c r="L370" s="192"/>
      <c r="N370" s="192"/>
      <c r="O370" s="396"/>
      <c r="Q370" s="396"/>
      <c r="R370" s="192"/>
      <c r="S370" s="192"/>
      <c r="T370" s="192"/>
      <c r="U370" s="340"/>
      <c r="V370" s="192"/>
    </row>
    <row r="371" spans="4:22" x14ac:dyDescent="0.15">
      <c r="D371" s="339"/>
      <c r="E371" s="192"/>
      <c r="H371" s="192"/>
      <c r="I371" s="192"/>
      <c r="J371" s="298"/>
      <c r="K371" s="192"/>
      <c r="L371" s="192"/>
      <c r="N371" s="192"/>
      <c r="O371" s="396"/>
      <c r="Q371" s="396"/>
      <c r="R371" s="192"/>
      <c r="S371" s="192"/>
      <c r="T371" s="192"/>
      <c r="U371" s="340"/>
      <c r="V371" s="192"/>
    </row>
    <row r="372" spans="4:22" x14ac:dyDescent="0.15">
      <c r="D372" s="339"/>
      <c r="E372" s="192"/>
      <c r="H372" s="192"/>
      <c r="I372" s="192"/>
      <c r="J372" s="298"/>
      <c r="K372" s="192"/>
      <c r="L372" s="192"/>
      <c r="N372" s="192"/>
      <c r="O372" s="396"/>
      <c r="Q372" s="396"/>
      <c r="R372" s="192"/>
      <c r="S372" s="192"/>
      <c r="T372" s="192"/>
      <c r="U372" s="340"/>
      <c r="V372" s="192"/>
    </row>
    <row r="373" spans="4:22" x14ac:dyDescent="0.15">
      <c r="D373" s="339"/>
      <c r="E373" s="192"/>
      <c r="H373" s="192"/>
      <c r="I373" s="192"/>
      <c r="J373" s="298"/>
      <c r="K373" s="192"/>
      <c r="L373" s="192"/>
      <c r="N373" s="192"/>
      <c r="O373" s="396"/>
      <c r="Q373" s="396"/>
      <c r="R373" s="192"/>
      <c r="S373" s="192"/>
      <c r="T373" s="192"/>
      <c r="U373" s="340"/>
      <c r="V373" s="192"/>
    </row>
    <row r="374" spans="4:22" x14ac:dyDescent="0.15">
      <c r="D374" s="339"/>
      <c r="E374" s="192"/>
      <c r="H374" s="192"/>
      <c r="I374" s="192"/>
      <c r="J374" s="298"/>
      <c r="K374" s="192"/>
      <c r="L374" s="192"/>
      <c r="N374" s="192"/>
      <c r="O374" s="396"/>
      <c r="Q374" s="396"/>
      <c r="R374" s="192"/>
      <c r="S374" s="192"/>
      <c r="T374" s="192"/>
      <c r="U374" s="340"/>
      <c r="V374" s="192"/>
    </row>
    <row r="375" spans="4:22" x14ac:dyDescent="0.15">
      <c r="D375" s="339"/>
      <c r="E375" s="192"/>
      <c r="H375" s="192"/>
      <c r="I375" s="192"/>
      <c r="J375" s="298"/>
      <c r="K375" s="192"/>
      <c r="L375" s="192"/>
      <c r="N375" s="192"/>
      <c r="O375" s="396"/>
      <c r="Q375" s="396"/>
      <c r="R375" s="192"/>
      <c r="S375" s="192"/>
      <c r="T375" s="192"/>
      <c r="U375" s="340"/>
      <c r="V375" s="192"/>
    </row>
    <row r="376" spans="4:22" x14ac:dyDescent="0.15">
      <c r="D376" s="339"/>
      <c r="E376" s="192"/>
      <c r="H376" s="192"/>
      <c r="I376" s="192"/>
      <c r="J376" s="298"/>
      <c r="K376" s="192"/>
      <c r="L376" s="192"/>
      <c r="N376" s="192"/>
      <c r="O376" s="396"/>
      <c r="Q376" s="396"/>
      <c r="R376" s="192"/>
      <c r="S376" s="192"/>
      <c r="T376" s="192"/>
      <c r="U376" s="340"/>
      <c r="V376" s="192"/>
    </row>
    <row r="377" spans="4:22" x14ac:dyDescent="0.15">
      <c r="D377" s="339"/>
      <c r="E377" s="192"/>
      <c r="H377" s="192"/>
      <c r="I377" s="192"/>
      <c r="J377" s="298"/>
      <c r="K377" s="192"/>
      <c r="L377" s="192"/>
      <c r="N377" s="192"/>
      <c r="O377" s="396"/>
      <c r="Q377" s="396"/>
      <c r="R377" s="192"/>
      <c r="S377" s="192"/>
      <c r="T377" s="192"/>
      <c r="U377" s="340"/>
      <c r="V377" s="192"/>
    </row>
    <row r="378" spans="4:22" x14ac:dyDescent="0.15">
      <c r="D378" s="339"/>
      <c r="E378" s="192"/>
      <c r="H378" s="192"/>
      <c r="I378" s="192"/>
      <c r="J378" s="298"/>
      <c r="K378" s="192"/>
      <c r="L378" s="192"/>
      <c r="N378" s="192"/>
      <c r="O378" s="396"/>
      <c r="Q378" s="396"/>
      <c r="R378" s="192"/>
      <c r="S378" s="192"/>
      <c r="T378" s="192"/>
      <c r="U378" s="340"/>
      <c r="V378" s="192"/>
    </row>
    <row r="379" spans="4:22" x14ac:dyDescent="0.15">
      <c r="D379" s="339"/>
      <c r="E379" s="192"/>
      <c r="H379" s="192"/>
      <c r="I379" s="192"/>
      <c r="J379" s="298"/>
      <c r="K379" s="192"/>
      <c r="L379" s="192"/>
      <c r="N379" s="192"/>
      <c r="O379" s="396"/>
      <c r="Q379" s="396"/>
      <c r="R379" s="192"/>
      <c r="S379" s="192"/>
      <c r="T379" s="192"/>
      <c r="U379" s="340"/>
      <c r="V379" s="192"/>
    </row>
    <row r="380" spans="4:22" x14ac:dyDescent="0.15">
      <c r="D380" s="339"/>
      <c r="E380" s="192"/>
      <c r="H380" s="192"/>
      <c r="I380" s="192"/>
      <c r="J380" s="298"/>
      <c r="K380" s="192"/>
      <c r="L380" s="192"/>
      <c r="N380" s="192"/>
      <c r="O380" s="396"/>
      <c r="Q380" s="396"/>
      <c r="R380" s="192"/>
      <c r="S380" s="192"/>
      <c r="T380" s="192"/>
      <c r="U380" s="340"/>
      <c r="V380" s="192"/>
    </row>
    <row r="381" spans="4:22" x14ac:dyDescent="0.15">
      <c r="D381" s="339"/>
      <c r="E381" s="192"/>
      <c r="H381" s="192"/>
      <c r="I381" s="192"/>
      <c r="J381" s="298"/>
      <c r="K381" s="192"/>
      <c r="L381" s="192"/>
      <c r="N381" s="192"/>
      <c r="O381" s="396"/>
      <c r="Q381" s="396"/>
      <c r="R381" s="192"/>
      <c r="S381" s="192"/>
      <c r="T381" s="192"/>
      <c r="U381" s="340"/>
      <c r="V381" s="192"/>
    </row>
    <row r="382" spans="4:22" x14ac:dyDescent="0.15">
      <c r="D382" s="339"/>
      <c r="E382" s="192"/>
      <c r="H382" s="192"/>
      <c r="I382" s="192"/>
      <c r="J382" s="298"/>
      <c r="K382" s="192"/>
      <c r="L382" s="192"/>
      <c r="N382" s="192"/>
      <c r="O382" s="396"/>
      <c r="Q382" s="396"/>
      <c r="R382" s="192"/>
      <c r="S382" s="192"/>
      <c r="T382" s="192"/>
      <c r="U382" s="340"/>
      <c r="V382" s="192"/>
    </row>
    <row r="383" spans="4:22" x14ac:dyDescent="0.15">
      <c r="D383" s="339"/>
      <c r="E383" s="192"/>
      <c r="H383" s="192"/>
      <c r="I383" s="192"/>
      <c r="J383" s="298"/>
      <c r="K383" s="192"/>
      <c r="L383" s="192"/>
      <c r="N383" s="192"/>
      <c r="O383" s="396"/>
      <c r="Q383" s="396"/>
      <c r="R383" s="192"/>
      <c r="S383" s="192"/>
      <c r="T383" s="192"/>
      <c r="U383" s="340"/>
      <c r="V383" s="192"/>
    </row>
    <row r="384" spans="4:22" x14ac:dyDescent="0.15">
      <c r="D384" s="339"/>
      <c r="E384" s="192"/>
      <c r="H384" s="192"/>
      <c r="I384" s="192"/>
      <c r="J384" s="298"/>
      <c r="K384" s="192"/>
      <c r="L384" s="192"/>
      <c r="N384" s="192"/>
      <c r="O384" s="396"/>
      <c r="Q384" s="396"/>
      <c r="R384" s="192"/>
      <c r="S384" s="192"/>
      <c r="T384" s="192"/>
      <c r="U384" s="340"/>
      <c r="V384" s="192"/>
    </row>
    <row r="385" spans="4:22" x14ac:dyDescent="0.15">
      <c r="D385" s="339"/>
      <c r="E385" s="192"/>
      <c r="H385" s="192"/>
      <c r="I385" s="192"/>
      <c r="J385" s="298"/>
      <c r="K385" s="192"/>
      <c r="L385" s="192"/>
      <c r="N385" s="192"/>
      <c r="O385" s="396"/>
      <c r="Q385" s="396"/>
      <c r="R385" s="192"/>
      <c r="S385" s="192"/>
      <c r="T385" s="192"/>
      <c r="U385" s="340"/>
      <c r="V385" s="192"/>
    </row>
    <row r="386" spans="4:22" x14ac:dyDescent="0.15">
      <c r="D386" s="339"/>
      <c r="E386" s="192"/>
      <c r="H386" s="192"/>
      <c r="I386" s="192"/>
      <c r="J386" s="298"/>
      <c r="K386" s="192"/>
      <c r="L386" s="192"/>
      <c r="N386" s="192"/>
      <c r="O386" s="396"/>
      <c r="Q386" s="396"/>
      <c r="R386" s="192"/>
      <c r="S386" s="192"/>
      <c r="T386" s="192"/>
      <c r="U386" s="340"/>
      <c r="V386" s="192"/>
    </row>
    <row r="387" spans="4:22" x14ac:dyDescent="0.15">
      <c r="D387" s="339"/>
      <c r="E387" s="192"/>
      <c r="H387" s="192"/>
      <c r="I387" s="192"/>
      <c r="J387" s="298"/>
      <c r="K387" s="192"/>
      <c r="L387" s="192"/>
      <c r="N387" s="192"/>
      <c r="O387" s="396"/>
      <c r="Q387" s="396"/>
      <c r="R387" s="192"/>
      <c r="S387" s="192"/>
      <c r="T387" s="192"/>
      <c r="U387" s="340"/>
      <c r="V387" s="192"/>
    </row>
    <row r="388" spans="4:22" x14ac:dyDescent="0.15">
      <c r="D388" s="339"/>
      <c r="E388" s="192"/>
      <c r="H388" s="192"/>
      <c r="I388" s="192"/>
      <c r="J388" s="298"/>
      <c r="K388" s="192"/>
      <c r="L388" s="192"/>
      <c r="N388" s="192"/>
      <c r="O388" s="396"/>
      <c r="Q388" s="396"/>
      <c r="R388" s="192"/>
      <c r="S388" s="192"/>
      <c r="T388" s="192"/>
      <c r="U388" s="340"/>
      <c r="V388" s="192"/>
    </row>
    <row r="389" spans="4:22" x14ac:dyDescent="0.15">
      <c r="D389" s="339"/>
      <c r="E389" s="192"/>
      <c r="H389" s="192"/>
      <c r="I389" s="192"/>
      <c r="J389" s="298"/>
      <c r="K389" s="192"/>
      <c r="L389" s="192"/>
      <c r="N389" s="192"/>
      <c r="O389" s="396"/>
      <c r="Q389" s="396"/>
      <c r="R389" s="192"/>
      <c r="S389" s="192"/>
      <c r="T389" s="192"/>
      <c r="U389" s="340"/>
      <c r="V389" s="192"/>
    </row>
    <row r="390" spans="4:22" x14ac:dyDescent="0.15">
      <c r="D390" s="339"/>
      <c r="E390" s="192"/>
      <c r="H390" s="192"/>
      <c r="I390" s="192"/>
      <c r="J390" s="298"/>
      <c r="K390" s="192"/>
      <c r="L390" s="192"/>
      <c r="N390" s="192"/>
      <c r="O390" s="396"/>
      <c r="Q390" s="396"/>
      <c r="R390" s="192"/>
      <c r="S390" s="192"/>
      <c r="T390" s="192"/>
      <c r="U390" s="340"/>
      <c r="V390" s="192"/>
    </row>
  </sheetData>
  <mergeCells count="7">
    <mergeCell ref="A194:J194"/>
    <mergeCell ref="X1:Y9"/>
    <mergeCell ref="A6:W6"/>
    <mergeCell ref="C10:K10"/>
    <mergeCell ref="M10:R10"/>
    <mergeCell ref="V10:Y10"/>
    <mergeCell ref="A185:J185"/>
  </mergeCells>
  <pageMargins left="0.94488188976377963" right="0.55118110236220474" top="0.39370078740157483" bottom="0" header="0" footer="0"/>
  <pageSetup paperSize="8" orientation="portrait" r:id="rId1"/>
  <headerFooter alignWithMargins="0">
    <oddFooter>&amp;R&amp;6&amp;Z&amp;F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6:H10"/>
  <sheetViews>
    <sheetView workbookViewId="0">
      <selection activeCell="I18" sqref="I18"/>
    </sheetView>
  </sheetViews>
  <sheetFormatPr defaultRowHeight="12.75" x14ac:dyDescent="0.2"/>
  <sheetData>
    <row r="6" spans="8:8" x14ac:dyDescent="0.2">
      <c r="H6" s="448"/>
    </row>
    <row r="7" spans="8:8" x14ac:dyDescent="0.2">
      <c r="H7" s="448"/>
    </row>
    <row r="8" spans="8:8" x14ac:dyDescent="0.2">
      <c r="H8" s="448"/>
    </row>
    <row r="9" spans="8:8" x14ac:dyDescent="0.2">
      <c r="H9" s="448"/>
    </row>
    <row r="10" spans="8:8" x14ac:dyDescent="0.2">
      <c r="H10" s="448"/>
    </row>
  </sheetData>
  <mergeCells count="1">
    <mergeCell ref="H6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126"/>
  <sheetViews>
    <sheetView workbookViewId="0"/>
  </sheetViews>
  <sheetFormatPr defaultRowHeight="10.5" x14ac:dyDescent="0.15"/>
  <cols>
    <col min="1" max="1" width="26.5703125" style="39" customWidth="1"/>
    <col min="2" max="2" width="7.42578125" style="120" customWidth="1"/>
    <col min="3" max="3" width="8.85546875" style="121" customWidth="1"/>
    <col min="4" max="4" width="10.85546875" style="122" customWidth="1"/>
    <col min="5" max="5" width="15.140625" style="47" customWidth="1"/>
    <col min="6" max="6" width="7.7109375" style="47" customWidth="1"/>
    <col min="7" max="7" width="8.7109375" style="47" customWidth="1"/>
    <col min="8" max="8" width="14" style="47" customWidth="1"/>
    <col min="9" max="9" width="12.140625" style="47" customWidth="1"/>
    <col min="10" max="11" width="7.7109375" style="47" customWidth="1"/>
    <col min="12" max="12" width="16" style="47" customWidth="1"/>
    <col min="13" max="13" width="9.42578125" style="47" customWidth="1"/>
    <col min="14" max="14" width="10.140625" style="47" customWidth="1"/>
    <col min="15" max="15" width="8.7109375" style="47" customWidth="1"/>
    <col min="16" max="16" width="11.28515625" style="47" customWidth="1"/>
    <col min="17" max="17" width="7.7109375" style="47" customWidth="1"/>
    <col min="18" max="19" width="14.140625" style="47" customWidth="1"/>
    <col min="20" max="20" width="20.7109375" style="47" customWidth="1"/>
    <col min="21" max="21" width="16.7109375" style="123" customWidth="1"/>
    <col min="22" max="22" width="14.140625" style="47" customWidth="1"/>
    <col min="23" max="23" width="8.7109375" style="47" customWidth="1"/>
    <col min="24" max="24" width="7.7109375" style="38" customWidth="1"/>
    <col min="25" max="25" width="7.7109375" style="39" customWidth="1"/>
    <col min="26" max="26" width="11.85546875" style="39" bestFit="1" customWidth="1"/>
    <col min="27" max="16384" width="9.140625" style="39"/>
  </cols>
  <sheetData>
    <row r="3" spans="1:27" x14ac:dyDescent="0.15">
      <c r="U3" s="123">
        <f>U10+U11+U13+U14+U15+U16+U18+U17+U22+U23+U24+U25+U26++U29+U30+U32+U33+U34+U35+U37+U38+U39+U40+U41+U43+U44+U45+U47+U48+U50+U51+U55+U54+U56+U57+U61+U63+U65+U66+U69+U68+U70+U76+U74+U77+U78+U79+U80+U81+U83+U85+U86+U87+U89+U88+U90+U91+U92+U93+U96+U97+U98+U99+U101+U100+U103+U104+U105+U106+U109+U110+U111+U112+U113+U124</f>
        <v>23117579.169328898</v>
      </c>
    </row>
    <row r="4" spans="1:27" x14ac:dyDescent="0.15">
      <c r="A4" s="437" t="s">
        <v>126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34"/>
    </row>
    <row r="6" spans="1:27" x14ac:dyDescent="0.15">
      <c r="A6" s="124" t="s">
        <v>114</v>
      </c>
      <c r="B6" s="125"/>
      <c r="C6" s="431" t="s">
        <v>111</v>
      </c>
      <c r="D6" s="432"/>
      <c r="E6" s="432"/>
      <c r="F6" s="432"/>
      <c r="G6" s="432"/>
      <c r="H6" s="432"/>
      <c r="I6" s="432"/>
      <c r="J6" s="432"/>
      <c r="K6" s="433"/>
      <c r="L6" s="33" t="s">
        <v>42</v>
      </c>
      <c r="M6" s="434" t="s">
        <v>112</v>
      </c>
      <c r="N6" s="435"/>
      <c r="O6" s="435"/>
      <c r="P6" s="435"/>
      <c r="Q6" s="435"/>
      <c r="R6" s="436"/>
      <c r="S6" s="127" t="s">
        <v>43</v>
      </c>
      <c r="T6" s="127" t="s">
        <v>127</v>
      </c>
      <c r="U6" s="128" t="s">
        <v>39</v>
      </c>
      <c r="V6" s="438" t="s">
        <v>113</v>
      </c>
      <c r="W6" s="439"/>
      <c r="X6" s="439"/>
      <c r="Y6" s="440"/>
    </row>
    <row r="7" spans="1:27" x14ac:dyDescent="0.15">
      <c r="A7" s="129" t="s">
        <v>96</v>
      </c>
      <c r="B7" s="130" t="s">
        <v>36</v>
      </c>
      <c r="C7" s="130" t="s">
        <v>122</v>
      </c>
      <c r="D7" s="131"/>
      <c r="E7" s="44" t="s">
        <v>121</v>
      </c>
      <c r="F7" s="40" t="s">
        <v>124</v>
      </c>
      <c r="G7" s="44"/>
      <c r="H7" s="44"/>
      <c r="I7" s="44" t="s">
        <v>123</v>
      </c>
      <c r="J7" s="44" t="s">
        <v>115</v>
      </c>
      <c r="K7" s="40" t="s">
        <v>90</v>
      </c>
      <c r="L7" s="44" t="s">
        <v>120</v>
      </c>
      <c r="M7" s="44" t="s">
        <v>125</v>
      </c>
      <c r="N7" s="44"/>
      <c r="O7" s="44" t="s">
        <v>124</v>
      </c>
      <c r="P7" s="44" t="s">
        <v>89</v>
      </c>
      <c r="Q7" s="44" t="s">
        <v>115</v>
      </c>
      <c r="R7" s="40" t="s">
        <v>90</v>
      </c>
      <c r="S7" s="44"/>
      <c r="T7" s="44"/>
      <c r="U7" s="132"/>
      <c r="V7" s="40" t="s">
        <v>91</v>
      </c>
      <c r="W7" s="40" t="s">
        <v>88</v>
      </c>
      <c r="X7" s="35" t="s">
        <v>115</v>
      </c>
      <c r="Y7" s="40" t="s">
        <v>90</v>
      </c>
    </row>
    <row r="8" spans="1:27" ht="9" customHeight="1" x14ac:dyDescent="0.15">
      <c r="A8" s="133"/>
      <c r="B8" s="134">
        <f>B121</f>
        <v>57.070000000000007</v>
      </c>
      <c r="C8" s="135"/>
      <c r="D8" s="136" t="s">
        <v>41</v>
      </c>
      <c r="E8" s="137" t="s">
        <v>40</v>
      </c>
      <c r="F8" s="13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48"/>
      <c r="T8" s="48"/>
      <c r="U8" s="128">
        <v>23762972.68</v>
      </c>
      <c r="V8" s="48"/>
      <c r="W8" s="48"/>
      <c r="X8" s="36"/>
      <c r="Y8" s="36"/>
    </row>
    <row r="9" spans="1:27" ht="10.5" customHeight="1" x14ac:dyDescent="0.15">
      <c r="A9" s="138" t="s">
        <v>49</v>
      </c>
      <c r="B9" s="139">
        <f>B10+B11+B12+B18</f>
        <v>11.290000000000001</v>
      </c>
      <c r="C9" s="140">
        <f t="shared" ref="C9:C18" si="0">D9/1000</f>
        <v>5008.4700051463105</v>
      </c>
      <c r="D9" s="41">
        <f>D10+D11+D12+D18</f>
        <v>5008470.0051463107</v>
      </c>
      <c r="E9" s="41">
        <f>E10+E11+E12+E18</f>
        <v>307506.95</v>
      </c>
      <c r="F9" s="41">
        <f t="shared" ref="F9:F18" si="1">H9/1000</f>
        <v>4462.9139999999998</v>
      </c>
      <c r="G9" s="41">
        <f>G10+G11+G12+G18</f>
        <v>246200</v>
      </c>
      <c r="H9" s="41">
        <f>H10+H11+H12+H18</f>
        <v>4462914</v>
      </c>
      <c r="I9" s="41">
        <f>I10+I11+I12+I18</f>
        <v>492400</v>
      </c>
      <c r="J9" s="41">
        <f>J10+J11+J12+J18</f>
        <v>0</v>
      </c>
      <c r="K9" s="41">
        <f t="shared" ref="K9:K18" si="2">L9/1000</f>
        <v>5950.5519999999997</v>
      </c>
      <c r="L9" s="41">
        <f>L10+L11+L12+L18</f>
        <v>5950552</v>
      </c>
      <c r="M9" s="41">
        <f t="shared" ref="M9:M18" si="3">N9/1000*-1</f>
        <v>0</v>
      </c>
      <c r="N9" s="41">
        <f>N10+N11+N12+N18</f>
        <v>0</v>
      </c>
      <c r="O9" s="41">
        <f t="shared" ref="O9:O18" si="4">P9/1000*-1</f>
        <v>0</v>
      </c>
      <c r="P9" s="41">
        <f>P10+P11+P12+P18</f>
        <v>0</v>
      </c>
      <c r="Q9" s="41">
        <v>0</v>
      </c>
      <c r="R9" s="41">
        <f t="shared" ref="R9:R18" si="5">S9/1000*-1</f>
        <v>0</v>
      </c>
      <c r="S9" s="41">
        <f>S10+S11+S12+S18</f>
        <v>0</v>
      </c>
      <c r="T9" s="41">
        <f>T10+T11+T12+T18</f>
        <v>0</v>
      </c>
      <c r="U9" s="141">
        <f>U10+U11+U12+U18</f>
        <v>4700963.0551463105</v>
      </c>
      <c r="V9" s="33">
        <f t="shared" ref="V9:V18" si="6">C9+M9</f>
        <v>5008.4700051463105</v>
      </c>
      <c r="W9" s="33">
        <f t="shared" ref="W9:W18" si="7">F9+O9</f>
        <v>4462.9139999999998</v>
      </c>
      <c r="X9" s="33">
        <f t="shared" ref="X9:X18" si="8">J9+Q9</f>
        <v>0</v>
      </c>
      <c r="Y9" s="41">
        <f t="shared" ref="Y9:Y18" si="9">K9+R9</f>
        <v>5950.5519999999997</v>
      </c>
      <c r="Z9" s="47"/>
      <c r="AA9" s="47"/>
    </row>
    <row r="10" spans="1:27" ht="9.9499999999999993" customHeight="1" x14ac:dyDescent="0.15">
      <c r="A10" s="142" t="s">
        <v>50</v>
      </c>
      <c r="B10" s="125">
        <v>5.18</v>
      </c>
      <c r="C10" s="140">
        <f t="shared" si="0"/>
        <v>2287.1714743718235</v>
      </c>
      <c r="D10" s="41">
        <f t="shared" ref="D10:D18" si="10">E10+U10</f>
        <v>2287171.4743718235</v>
      </c>
      <c r="E10" s="33">
        <v>130308</v>
      </c>
      <c r="F10" s="41">
        <f t="shared" si="1"/>
        <v>2013.20325</v>
      </c>
      <c r="G10" s="33">
        <f t="shared" ref="G10:G18" si="11">I10/2</f>
        <v>90000</v>
      </c>
      <c r="H10" s="33">
        <f>L10*0.75</f>
        <v>2013203.25</v>
      </c>
      <c r="I10" s="33">
        <v>180000</v>
      </c>
      <c r="J10" s="33"/>
      <c r="K10" s="41">
        <f t="shared" si="2"/>
        <v>2684.2710000000002</v>
      </c>
      <c r="L10" s="33">
        <v>2684271</v>
      </c>
      <c r="M10" s="41">
        <f t="shared" si="3"/>
        <v>0</v>
      </c>
      <c r="N10" s="33"/>
      <c r="O10" s="41">
        <f t="shared" si="4"/>
        <v>0</v>
      </c>
      <c r="P10" s="33">
        <f t="shared" ref="P10:P18" si="12">S10/2</f>
        <v>0</v>
      </c>
      <c r="Q10" s="33">
        <v>0</v>
      </c>
      <c r="R10" s="41">
        <f t="shared" si="5"/>
        <v>0</v>
      </c>
      <c r="S10" s="33"/>
      <c r="T10" s="33"/>
      <c r="U10" s="143">
        <f>U8/B8*B10</f>
        <v>2156863.4743718235</v>
      </c>
      <c r="V10" s="33">
        <f t="shared" si="6"/>
        <v>2287.1714743718235</v>
      </c>
      <c r="W10" s="33">
        <f t="shared" si="7"/>
        <v>2013.20325</v>
      </c>
      <c r="X10" s="33">
        <f t="shared" si="8"/>
        <v>0</v>
      </c>
      <c r="Y10" s="41">
        <f t="shared" si="9"/>
        <v>2684.2710000000002</v>
      </c>
      <c r="Z10" s="47"/>
      <c r="AA10" s="47"/>
    </row>
    <row r="11" spans="1:27" ht="9.9499999999999993" customHeight="1" x14ac:dyDescent="0.15">
      <c r="A11" s="142" t="s">
        <v>57</v>
      </c>
      <c r="B11" s="125">
        <v>3.21</v>
      </c>
      <c r="C11" s="140">
        <f t="shared" si="0"/>
        <v>1421.3741414543542</v>
      </c>
      <c r="D11" s="41">
        <f t="shared" si="10"/>
        <v>1421374.1414543542</v>
      </c>
      <c r="E11" s="33">
        <v>84785</v>
      </c>
      <c r="F11" s="41">
        <f t="shared" si="1"/>
        <v>1231.40625</v>
      </c>
      <c r="G11" s="33">
        <f t="shared" si="11"/>
        <v>45000</v>
      </c>
      <c r="H11" s="33">
        <f>L11*0.75</f>
        <v>1231406.25</v>
      </c>
      <c r="I11" s="33">
        <v>90000</v>
      </c>
      <c r="J11" s="33"/>
      <c r="K11" s="41">
        <f t="shared" si="2"/>
        <v>1641.875</v>
      </c>
      <c r="L11" s="33">
        <v>1641875</v>
      </c>
      <c r="M11" s="41">
        <f t="shared" si="3"/>
        <v>0</v>
      </c>
      <c r="N11" s="33"/>
      <c r="O11" s="41">
        <f t="shared" si="4"/>
        <v>0</v>
      </c>
      <c r="P11" s="33">
        <f t="shared" si="12"/>
        <v>0</v>
      </c>
      <c r="Q11" s="33">
        <v>0</v>
      </c>
      <c r="R11" s="41">
        <f t="shared" si="5"/>
        <v>0</v>
      </c>
      <c r="S11" s="33"/>
      <c r="T11" s="33"/>
      <c r="U11" s="143">
        <f>U8/B8*B11</f>
        <v>1336589.1414543542</v>
      </c>
      <c r="V11" s="33">
        <f t="shared" si="6"/>
        <v>1421.3741414543542</v>
      </c>
      <c r="W11" s="33">
        <f t="shared" si="7"/>
        <v>1231.40625</v>
      </c>
      <c r="X11" s="33">
        <f t="shared" si="8"/>
        <v>0</v>
      </c>
      <c r="Y11" s="41">
        <f t="shared" si="9"/>
        <v>1641.875</v>
      </c>
      <c r="Z11" s="47"/>
      <c r="AA11" s="47"/>
    </row>
    <row r="12" spans="1:27" ht="9.9499999999999993" customHeight="1" x14ac:dyDescent="0.15">
      <c r="A12" s="142" t="s">
        <v>51</v>
      </c>
      <c r="B12" s="125">
        <v>2.8</v>
      </c>
      <c r="C12" s="140">
        <f t="shared" si="0"/>
        <v>1191.8120983090939</v>
      </c>
      <c r="D12" s="41">
        <f t="shared" si="10"/>
        <v>1191812.0983090939</v>
      </c>
      <c r="E12" s="33">
        <f>SUM(E13:E17)</f>
        <v>25939.95</v>
      </c>
      <c r="F12" s="41">
        <f t="shared" si="1"/>
        <v>1182.04575</v>
      </c>
      <c r="G12" s="33">
        <f t="shared" si="11"/>
        <v>111200</v>
      </c>
      <c r="H12" s="33">
        <f>H13+H14+H15+H16+H17</f>
        <v>1182045.75</v>
      </c>
      <c r="I12" s="33">
        <v>222400</v>
      </c>
      <c r="J12" s="33">
        <f>J13+J14+J15+J16+J17</f>
        <v>0</v>
      </c>
      <c r="K12" s="41">
        <f t="shared" si="2"/>
        <v>1576.0609999999999</v>
      </c>
      <c r="L12" s="33">
        <f>L13+L14+L15+L16+L17</f>
        <v>1576061</v>
      </c>
      <c r="M12" s="41">
        <f t="shared" si="3"/>
        <v>0</v>
      </c>
      <c r="N12" s="33">
        <f>N13+N14+N15+N16+N17</f>
        <v>0</v>
      </c>
      <c r="O12" s="41">
        <f t="shared" si="4"/>
        <v>0</v>
      </c>
      <c r="P12" s="33">
        <f t="shared" si="12"/>
        <v>0</v>
      </c>
      <c r="Q12" s="33">
        <v>0</v>
      </c>
      <c r="R12" s="41">
        <f t="shared" si="5"/>
        <v>0</v>
      </c>
      <c r="S12" s="33"/>
      <c r="T12" s="33"/>
      <c r="U12" s="143">
        <f>U8/B8*B12</f>
        <v>1165872.1483090939</v>
      </c>
      <c r="V12" s="33">
        <f t="shared" si="6"/>
        <v>1191.8120983090939</v>
      </c>
      <c r="W12" s="33">
        <f t="shared" si="7"/>
        <v>1182.04575</v>
      </c>
      <c r="X12" s="33">
        <f t="shared" si="8"/>
        <v>0</v>
      </c>
      <c r="Y12" s="41">
        <f t="shared" si="9"/>
        <v>1576.0609999999999</v>
      </c>
      <c r="Z12" s="47"/>
      <c r="AA12" s="47"/>
    </row>
    <row r="13" spans="1:27" ht="9.9499999999999993" customHeight="1" x14ac:dyDescent="0.15">
      <c r="A13" s="144" t="s">
        <v>52</v>
      </c>
      <c r="B13" s="134">
        <v>1</v>
      </c>
      <c r="C13" s="145">
        <f t="shared" si="0"/>
        <v>417.12186011039068</v>
      </c>
      <c r="D13" s="43">
        <f t="shared" si="10"/>
        <v>417121.8601103907</v>
      </c>
      <c r="E13" s="36">
        <f>438.9+300.05</f>
        <v>738.95</v>
      </c>
      <c r="F13" s="43">
        <f t="shared" si="1"/>
        <v>362.58749999999998</v>
      </c>
      <c r="G13" s="36">
        <f t="shared" si="11"/>
        <v>0</v>
      </c>
      <c r="H13" s="36">
        <f t="shared" ref="H13:H18" si="13">L13*0.75</f>
        <v>362587.5</v>
      </c>
      <c r="I13" s="36"/>
      <c r="J13" s="36"/>
      <c r="K13" s="43">
        <f t="shared" si="2"/>
        <v>483.45</v>
      </c>
      <c r="L13" s="36">
        <v>483450</v>
      </c>
      <c r="M13" s="43">
        <f t="shared" si="3"/>
        <v>0</v>
      </c>
      <c r="N13" s="36"/>
      <c r="O13" s="43">
        <f t="shared" si="4"/>
        <v>0</v>
      </c>
      <c r="P13" s="36">
        <f t="shared" si="12"/>
        <v>0</v>
      </c>
      <c r="Q13" s="36">
        <v>0</v>
      </c>
      <c r="R13" s="43">
        <f t="shared" si="5"/>
        <v>0</v>
      </c>
      <c r="S13" s="36"/>
      <c r="T13" s="36"/>
      <c r="U13" s="146">
        <f>U8/B8*B13</f>
        <v>416382.91011039069</v>
      </c>
      <c r="V13" s="36">
        <f t="shared" si="6"/>
        <v>417.12186011039068</v>
      </c>
      <c r="W13" s="36">
        <f t="shared" si="7"/>
        <v>362.58749999999998</v>
      </c>
      <c r="X13" s="36">
        <f t="shared" si="8"/>
        <v>0</v>
      </c>
      <c r="Y13" s="43">
        <f t="shared" si="9"/>
        <v>483.45</v>
      </c>
      <c r="Z13" s="47"/>
      <c r="AA13" s="47"/>
    </row>
    <row r="14" spans="1:27" ht="9.9499999999999993" customHeight="1" x14ac:dyDescent="0.15">
      <c r="A14" s="144" t="s">
        <v>44</v>
      </c>
      <c r="B14" s="134">
        <v>0.65</v>
      </c>
      <c r="C14" s="145">
        <f t="shared" si="0"/>
        <v>273.16189157175393</v>
      </c>
      <c r="D14" s="43">
        <f t="shared" si="10"/>
        <v>273161.89157175395</v>
      </c>
      <c r="E14" s="36">
        <f>1592.5+920.5</f>
        <v>2513</v>
      </c>
      <c r="F14" s="43">
        <f t="shared" si="1"/>
        <v>244.98224999999999</v>
      </c>
      <c r="G14" s="36">
        <f t="shared" si="11"/>
        <v>6200</v>
      </c>
      <c r="H14" s="36">
        <f t="shared" si="13"/>
        <v>244982.25</v>
      </c>
      <c r="I14" s="36">
        <v>12400</v>
      </c>
      <c r="J14" s="36"/>
      <c r="K14" s="43">
        <f t="shared" si="2"/>
        <v>326.64299999999997</v>
      </c>
      <c r="L14" s="36">
        <v>326643</v>
      </c>
      <c r="M14" s="43">
        <f t="shared" si="3"/>
        <v>0</v>
      </c>
      <c r="N14" s="36"/>
      <c r="O14" s="43">
        <f t="shared" si="4"/>
        <v>0</v>
      </c>
      <c r="P14" s="36">
        <f t="shared" si="12"/>
        <v>0</v>
      </c>
      <c r="Q14" s="36">
        <v>0</v>
      </c>
      <c r="R14" s="43">
        <f t="shared" si="5"/>
        <v>0</v>
      </c>
      <c r="S14" s="36"/>
      <c r="T14" s="36"/>
      <c r="U14" s="146">
        <f>U8/B8*B14</f>
        <v>270648.89157175395</v>
      </c>
      <c r="V14" s="36">
        <f t="shared" si="6"/>
        <v>273.16189157175393</v>
      </c>
      <c r="W14" s="36">
        <f t="shared" si="7"/>
        <v>244.98224999999999</v>
      </c>
      <c r="X14" s="36">
        <f t="shared" si="8"/>
        <v>0</v>
      </c>
      <c r="Y14" s="43">
        <f t="shared" si="9"/>
        <v>326.64299999999997</v>
      </c>
      <c r="Z14" s="47"/>
      <c r="AA14" s="47"/>
    </row>
    <row r="15" spans="1:27" ht="9.9499999999999993" customHeight="1" x14ac:dyDescent="0.15">
      <c r="A15" s="144" t="s">
        <v>5</v>
      </c>
      <c r="B15" s="134">
        <v>0.4</v>
      </c>
      <c r="C15" s="145">
        <f t="shared" si="0"/>
        <v>167.23816404415629</v>
      </c>
      <c r="D15" s="43">
        <f t="shared" si="10"/>
        <v>167238.16404415629</v>
      </c>
      <c r="E15" s="36">
        <v>685</v>
      </c>
      <c r="F15" s="43">
        <f t="shared" si="1"/>
        <v>231.285</v>
      </c>
      <c r="G15" s="36">
        <f t="shared" si="11"/>
        <v>57500</v>
      </c>
      <c r="H15" s="36">
        <f t="shared" si="13"/>
        <v>231285</v>
      </c>
      <c r="I15" s="36">
        <v>115000</v>
      </c>
      <c r="J15" s="36"/>
      <c r="K15" s="43">
        <f t="shared" si="2"/>
        <v>308.38</v>
      </c>
      <c r="L15" s="36">
        <v>308380</v>
      </c>
      <c r="M15" s="43">
        <f t="shared" si="3"/>
        <v>0</v>
      </c>
      <c r="N15" s="36"/>
      <c r="O15" s="43">
        <f t="shared" si="4"/>
        <v>0</v>
      </c>
      <c r="P15" s="36">
        <f t="shared" si="12"/>
        <v>0</v>
      </c>
      <c r="Q15" s="36">
        <v>0</v>
      </c>
      <c r="R15" s="43">
        <f t="shared" si="5"/>
        <v>0</v>
      </c>
      <c r="S15" s="36"/>
      <c r="T15" s="36"/>
      <c r="U15" s="146">
        <f>U8/B8*B15</f>
        <v>166553.16404415629</v>
      </c>
      <c r="V15" s="36">
        <f t="shared" si="6"/>
        <v>167.23816404415629</v>
      </c>
      <c r="W15" s="36">
        <f t="shared" si="7"/>
        <v>231.285</v>
      </c>
      <c r="X15" s="36">
        <f t="shared" si="8"/>
        <v>0</v>
      </c>
      <c r="Y15" s="43">
        <f t="shared" si="9"/>
        <v>308.38</v>
      </c>
      <c r="Z15" s="47"/>
      <c r="AA15" s="47"/>
    </row>
    <row r="16" spans="1:27" ht="9.9499999999999993" customHeight="1" x14ac:dyDescent="0.15">
      <c r="A16" s="144" t="s">
        <v>45</v>
      </c>
      <c r="B16" s="134">
        <v>0.4</v>
      </c>
      <c r="C16" s="145">
        <f t="shared" si="0"/>
        <v>167.73116404415629</v>
      </c>
      <c r="D16" s="43">
        <f t="shared" si="10"/>
        <v>167731.16404415629</v>
      </c>
      <c r="E16" s="36">
        <v>1178</v>
      </c>
      <c r="F16" s="43">
        <f t="shared" si="1"/>
        <v>216.285</v>
      </c>
      <c r="G16" s="36">
        <f t="shared" si="11"/>
        <v>47500</v>
      </c>
      <c r="H16" s="36">
        <f t="shared" si="13"/>
        <v>216285</v>
      </c>
      <c r="I16" s="36">
        <v>95000</v>
      </c>
      <c r="J16" s="36"/>
      <c r="K16" s="43">
        <f t="shared" si="2"/>
        <v>288.38</v>
      </c>
      <c r="L16" s="36">
        <v>288380</v>
      </c>
      <c r="M16" s="43">
        <f t="shared" si="3"/>
        <v>0</v>
      </c>
      <c r="N16" s="36"/>
      <c r="O16" s="43">
        <f t="shared" si="4"/>
        <v>0</v>
      </c>
      <c r="P16" s="36">
        <f t="shared" si="12"/>
        <v>0</v>
      </c>
      <c r="Q16" s="36">
        <v>0</v>
      </c>
      <c r="R16" s="43">
        <f t="shared" si="5"/>
        <v>0</v>
      </c>
      <c r="S16" s="36"/>
      <c r="T16" s="36"/>
      <c r="U16" s="146">
        <f>U8/B8*B16</f>
        <v>166553.16404415629</v>
      </c>
      <c r="V16" s="36">
        <f t="shared" si="6"/>
        <v>167.73116404415629</v>
      </c>
      <c r="W16" s="36">
        <f t="shared" si="7"/>
        <v>216.285</v>
      </c>
      <c r="X16" s="36">
        <f t="shared" si="8"/>
        <v>0</v>
      </c>
      <c r="Y16" s="43">
        <f t="shared" si="9"/>
        <v>288.38</v>
      </c>
      <c r="Z16" s="47"/>
      <c r="AA16" s="47"/>
    </row>
    <row r="17" spans="1:38" ht="9.9499999999999993" customHeight="1" x14ac:dyDescent="0.15">
      <c r="A17" s="144" t="s">
        <v>46</v>
      </c>
      <c r="B17" s="134">
        <v>0.35</v>
      </c>
      <c r="C17" s="145">
        <f t="shared" si="0"/>
        <v>166.55901853863674</v>
      </c>
      <c r="D17" s="43">
        <f t="shared" si="10"/>
        <v>166559.01853863674</v>
      </c>
      <c r="E17" s="36">
        <v>20825</v>
      </c>
      <c r="F17" s="43">
        <f t="shared" si="1"/>
        <v>126.90600000000001</v>
      </c>
      <c r="G17" s="36">
        <f t="shared" si="11"/>
        <v>0</v>
      </c>
      <c r="H17" s="36">
        <f t="shared" si="13"/>
        <v>126906</v>
      </c>
      <c r="I17" s="36">
        <v>0</v>
      </c>
      <c r="J17" s="36"/>
      <c r="K17" s="43">
        <f t="shared" si="2"/>
        <v>169.208</v>
      </c>
      <c r="L17" s="36">
        <v>169208</v>
      </c>
      <c r="M17" s="43">
        <f t="shared" si="3"/>
        <v>0</v>
      </c>
      <c r="N17" s="36"/>
      <c r="O17" s="43">
        <f t="shared" si="4"/>
        <v>0</v>
      </c>
      <c r="P17" s="36">
        <f t="shared" si="12"/>
        <v>0</v>
      </c>
      <c r="Q17" s="36">
        <v>0</v>
      </c>
      <c r="R17" s="43">
        <f t="shared" si="5"/>
        <v>0</v>
      </c>
      <c r="S17" s="36"/>
      <c r="T17" s="36"/>
      <c r="U17" s="146">
        <f>U8/B8*B17</f>
        <v>145734.01853863674</v>
      </c>
      <c r="V17" s="36">
        <f t="shared" si="6"/>
        <v>166.55901853863674</v>
      </c>
      <c r="W17" s="36">
        <f t="shared" si="7"/>
        <v>126.90600000000001</v>
      </c>
      <c r="X17" s="36">
        <f t="shared" si="8"/>
        <v>0</v>
      </c>
      <c r="Y17" s="43">
        <f t="shared" si="9"/>
        <v>169.208</v>
      </c>
      <c r="Z17" s="47"/>
      <c r="AA17" s="47"/>
    </row>
    <row r="18" spans="1:38" s="42" customFormat="1" ht="9.9499999999999993" customHeight="1" x14ac:dyDescent="0.15">
      <c r="A18" s="142" t="s">
        <v>58</v>
      </c>
      <c r="B18" s="125">
        <v>0.1</v>
      </c>
      <c r="C18" s="140">
        <f t="shared" si="0"/>
        <v>108.11229101103908</v>
      </c>
      <c r="D18" s="41">
        <f t="shared" si="10"/>
        <v>108112.29101103908</v>
      </c>
      <c r="E18" s="33">
        <f>44726+21748</f>
        <v>66474</v>
      </c>
      <c r="F18" s="41">
        <f t="shared" si="1"/>
        <v>36.258749999999999</v>
      </c>
      <c r="G18" s="33">
        <f t="shared" si="11"/>
        <v>0</v>
      </c>
      <c r="H18" s="33">
        <f t="shared" si="13"/>
        <v>36258.75</v>
      </c>
      <c r="I18" s="33">
        <v>0</v>
      </c>
      <c r="J18" s="33"/>
      <c r="K18" s="41">
        <f t="shared" si="2"/>
        <v>48.344999999999999</v>
      </c>
      <c r="L18" s="33">
        <v>48345</v>
      </c>
      <c r="M18" s="41">
        <f t="shared" si="3"/>
        <v>0</v>
      </c>
      <c r="N18" s="33"/>
      <c r="O18" s="41">
        <f t="shared" si="4"/>
        <v>0</v>
      </c>
      <c r="P18" s="33">
        <f t="shared" si="12"/>
        <v>0</v>
      </c>
      <c r="Q18" s="33">
        <v>0</v>
      </c>
      <c r="R18" s="41">
        <f t="shared" si="5"/>
        <v>0</v>
      </c>
      <c r="S18" s="33"/>
      <c r="T18" s="33"/>
      <c r="U18" s="143">
        <f>U8/B8*B18</f>
        <v>41638.291011039073</v>
      </c>
      <c r="V18" s="33">
        <f t="shared" si="6"/>
        <v>108.11229101103908</v>
      </c>
      <c r="W18" s="33">
        <f t="shared" si="7"/>
        <v>36.258749999999999</v>
      </c>
      <c r="X18" s="33">
        <f t="shared" si="8"/>
        <v>0</v>
      </c>
      <c r="Y18" s="41">
        <f t="shared" si="9"/>
        <v>48.344999999999999</v>
      </c>
      <c r="Z18" s="47"/>
      <c r="AA18" s="47"/>
    </row>
    <row r="19" spans="1:38" ht="9" customHeight="1" x14ac:dyDescent="0.15">
      <c r="A19" s="147"/>
      <c r="B19" s="125"/>
      <c r="C19" s="140"/>
      <c r="D19" s="41"/>
      <c r="E19" s="33"/>
      <c r="F19" s="41"/>
      <c r="G19" s="33"/>
      <c r="H19" s="33"/>
      <c r="I19" s="33"/>
      <c r="J19" s="33"/>
      <c r="K19" s="41"/>
      <c r="L19" s="33"/>
      <c r="M19" s="43"/>
      <c r="N19" s="36"/>
      <c r="O19" s="43"/>
      <c r="P19" s="36"/>
      <c r="Q19" s="36"/>
      <c r="R19" s="43"/>
      <c r="S19" s="33"/>
      <c r="T19" s="33"/>
      <c r="U19" s="146"/>
      <c r="V19" s="36"/>
      <c r="W19" s="36"/>
      <c r="X19" s="36"/>
      <c r="Y19" s="41"/>
      <c r="Z19" s="47"/>
      <c r="AA19" s="47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</row>
    <row r="20" spans="1:38" s="42" customFormat="1" x14ac:dyDescent="0.15">
      <c r="A20" s="138" t="s">
        <v>48</v>
      </c>
      <c r="B20" s="139">
        <f>B21+B28+B31+B36+B42+B46+B49+B67+B53</f>
        <v>15.420000000000002</v>
      </c>
      <c r="C20" s="140">
        <f t="shared" ref="C20:C51" si="14">D20/1000</f>
        <v>11929.878723902224</v>
      </c>
      <c r="D20" s="41">
        <f>D21+D28+D31+D36+D42+D46+D49+D67+D53</f>
        <v>11929878.723902224</v>
      </c>
      <c r="E20" s="41">
        <f>E21+E28+E31+E36+E42+E46+E49+E67+E53</f>
        <v>5509254.25</v>
      </c>
      <c r="F20" s="41">
        <f t="shared" ref="F20:F51" si="15">H20/1000</f>
        <v>14648.670749999999</v>
      </c>
      <c r="G20" s="41">
        <f>G21+G28+G31+G36+G42+G46+G49+G67+G53</f>
        <v>4617719</v>
      </c>
      <c r="H20" s="41">
        <f>H21+H28+H31+H36+H42+H46+H49+H67+H53</f>
        <v>14648670.75</v>
      </c>
      <c r="I20" s="41">
        <f>I21+I28+I31+I36+I42+I46+I49+I67+I53</f>
        <v>10076754</v>
      </c>
      <c r="J20" s="41">
        <f>J21+J28+J31+J36+J42+J46+J49+J53+J67</f>
        <v>0</v>
      </c>
      <c r="K20" s="41">
        <f t="shared" ref="K20:K51" si="16">L20/1000</f>
        <v>19531.561000000002</v>
      </c>
      <c r="L20" s="148">
        <f>L21+L28+L31+L36+L42+L46+L49+L67+L53</f>
        <v>19531561</v>
      </c>
      <c r="M20" s="41">
        <f t="shared" ref="M20:M51" si="17">N20/1000*-1</f>
        <v>-4456.8</v>
      </c>
      <c r="N20" s="41">
        <f>N21+N28+N31+N36+N42+N46+N49+N67+N53</f>
        <v>4456800</v>
      </c>
      <c r="O20" s="41">
        <f t="shared" ref="O20:O51" si="18">P20/1000*-1</f>
        <v>-8582.625</v>
      </c>
      <c r="P20" s="41">
        <f>P21+P28+P31+P36+P42+P46+P49+P67+P53</f>
        <v>8582625</v>
      </c>
      <c r="Q20" s="41">
        <f>Q21+Q28+Q31+Q36+Q42+Q49+Q53+Q67</f>
        <v>0</v>
      </c>
      <c r="R20" s="41">
        <f t="shared" ref="R20:R51" si="19">S20/1000*-1</f>
        <v>-11443.5</v>
      </c>
      <c r="S20" s="148">
        <f>S21+S28+S31+S36+S42+S46+S49+S67+S53</f>
        <v>11443500</v>
      </c>
      <c r="T20" s="148">
        <f>T21+T28+T31+T36+T42+T46+T49+T67+T53</f>
        <v>2485820</v>
      </c>
      <c r="U20" s="128"/>
      <c r="V20" s="33">
        <f t="shared" ref="V20:V51" si="20">C20+M20</f>
        <v>7473.0787239022238</v>
      </c>
      <c r="W20" s="33">
        <f t="shared" ref="W20:W51" si="21">F20+O20</f>
        <v>6066.0457499999993</v>
      </c>
      <c r="X20" s="33">
        <f t="shared" ref="X20:X51" si="22">J20+Q20</f>
        <v>0</v>
      </c>
      <c r="Y20" s="41">
        <f t="shared" ref="Y20:Y51" si="23">K20+R20</f>
        <v>8088.0610000000015</v>
      </c>
      <c r="Z20" s="47"/>
      <c r="AA20" s="47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</row>
    <row r="21" spans="1:38" s="117" customFormat="1" ht="9.9499999999999993" customHeight="1" x14ac:dyDescent="0.15">
      <c r="A21" s="142" t="s">
        <v>53</v>
      </c>
      <c r="B21" s="125">
        <f>SUM(B22:B27)</f>
        <v>2.0499999999999998</v>
      </c>
      <c r="C21" s="140">
        <f t="shared" si="14"/>
        <v>1011.8108557263008</v>
      </c>
      <c r="D21" s="41">
        <f t="shared" ref="D21:D52" si="24">E21+U21</f>
        <v>1011810.8557263009</v>
      </c>
      <c r="E21" s="33">
        <f>SUM(E22:E27)</f>
        <v>158225.89000000001</v>
      </c>
      <c r="F21" s="41">
        <f t="shared" si="15"/>
        <v>1075.5135</v>
      </c>
      <c r="G21" s="33">
        <f>I21/2</f>
        <v>221472</v>
      </c>
      <c r="H21" s="33">
        <f t="shared" ref="H21:H52" si="25">L21*0.75</f>
        <v>1075513.5</v>
      </c>
      <c r="I21" s="33">
        <v>442944</v>
      </c>
      <c r="J21" s="33">
        <f>J22+J23+J24+J25+J26+J27</f>
        <v>0</v>
      </c>
      <c r="K21" s="41">
        <f t="shared" si="16"/>
        <v>1434.018</v>
      </c>
      <c r="L21" s="33">
        <f>SUM(L22:L27)</f>
        <v>1434018</v>
      </c>
      <c r="M21" s="41">
        <f t="shared" si="17"/>
        <v>0</v>
      </c>
      <c r="N21" s="33"/>
      <c r="O21" s="41">
        <f t="shared" si="18"/>
        <v>-37.5</v>
      </c>
      <c r="P21" s="33">
        <f t="shared" ref="P21:P27" si="26">S21*0.75</f>
        <v>37500</v>
      </c>
      <c r="Q21" s="33">
        <v>0</v>
      </c>
      <c r="R21" s="41">
        <f t="shared" si="19"/>
        <v>-50</v>
      </c>
      <c r="S21" s="33">
        <v>50000</v>
      </c>
      <c r="T21" s="33"/>
      <c r="U21" s="146">
        <f>U8/B8*B21</f>
        <v>853584.96572630084</v>
      </c>
      <c r="V21" s="33">
        <f t="shared" si="20"/>
        <v>1011.8108557263008</v>
      </c>
      <c r="W21" s="33">
        <f t="shared" si="21"/>
        <v>1038.0135</v>
      </c>
      <c r="X21" s="33">
        <f t="shared" si="22"/>
        <v>0</v>
      </c>
      <c r="Y21" s="41">
        <f t="shared" si="23"/>
        <v>1384.018</v>
      </c>
      <c r="Z21" s="47"/>
      <c r="AA21" s="47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s="117" customFormat="1" ht="9.9499999999999993" customHeight="1" x14ac:dyDescent="0.15">
      <c r="A22" s="144" t="s">
        <v>47</v>
      </c>
      <c r="B22" s="134">
        <v>0.75</v>
      </c>
      <c r="C22" s="145">
        <f t="shared" si="14"/>
        <v>321.48418258279298</v>
      </c>
      <c r="D22" s="43">
        <f t="shared" si="24"/>
        <v>321484.182582793</v>
      </c>
      <c r="E22" s="36">
        <v>9197</v>
      </c>
      <c r="F22" s="43">
        <f t="shared" si="15"/>
        <v>316.94099999999997</v>
      </c>
      <c r="G22" s="36">
        <f>I22/2</f>
        <v>30000</v>
      </c>
      <c r="H22" s="36">
        <f t="shared" si="25"/>
        <v>316941</v>
      </c>
      <c r="I22" s="36">
        <v>60000</v>
      </c>
      <c r="J22" s="36"/>
      <c r="K22" s="43">
        <f t="shared" si="16"/>
        <v>422.58800000000002</v>
      </c>
      <c r="L22" s="36">
        <v>422588</v>
      </c>
      <c r="M22" s="43">
        <f t="shared" si="17"/>
        <v>0</v>
      </c>
      <c r="N22" s="36"/>
      <c r="O22" s="43">
        <f t="shared" si="18"/>
        <v>0</v>
      </c>
      <c r="P22" s="33">
        <f t="shared" si="26"/>
        <v>0</v>
      </c>
      <c r="Q22" s="36">
        <v>0</v>
      </c>
      <c r="R22" s="43">
        <f t="shared" si="19"/>
        <v>0</v>
      </c>
      <c r="S22" s="36"/>
      <c r="T22" s="36"/>
      <c r="U22" s="146">
        <f>U8/B8*B22</f>
        <v>312287.182582793</v>
      </c>
      <c r="V22" s="36">
        <f t="shared" si="20"/>
        <v>321.48418258279298</v>
      </c>
      <c r="W22" s="36">
        <f t="shared" si="21"/>
        <v>316.94099999999997</v>
      </c>
      <c r="X22" s="36">
        <f t="shared" si="22"/>
        <v>0</v>
      </c>
      <c r="Y22" s="43">
        <f t="shared" si="23"/>
        <v>422.58800000000002</v>
      </c>
      <c r="Z22" s="47"/>
      <c r="AA22" s="47"/>
    </row>
    <row r="23" spans="1:38" s="117" customFormat="1" ht="9.9499999999999993" customHeight="1" x14ac:dyDescent="0.15">
      <c r="A23" s="144" t="s">
        <v>0</v>
      </c>
      <c r="B23" s="134">
        <v>0.1</v>
      </c>
      <c r="C23" s="145">
        <f t="shared" si="14"/>
        <v>116.59518101103906</v>
      </c>
      <c r="D23" s="43">
        <f t="shared" si="24"/>
        <v>116595.18101103907</v>
      </c>
      <c r="E23" s="36">
        <f>1178+31873+41905.89</f>
        <v>74956.89</v>
      </c>
      <c r="F23" s="43">
        <f t="shared" si="15"/>
        <v>105.74175</v>
      </c>
      <c r="G23" s="36">
        <f>I23/2</f>
        <v>46322</v>
      </c>
      <c r="H23" s="36">
        <f t="shared" si="25"/>
        <v>105741.75</v>
      </c>
      <c r="I23" s="36">
        <v>92644</v>
      </c>
      <c r="J23" s="36"/>
      <c r="K23" s="43">
        <f t="shared" si="16"/>
        <v>140.989</v>
      </c>
      <c r="L23" s="36">
        <v>140989</v>
      </c>
      <c r="M23" s="43">
        <f t="shared" si="17"/>
        <v>0</v>
      </c>
      <c r="N23" s="36"/>
      <c r="O23" s="43">
        <f t="shared" si="18"/>
        <v>0</v>
      </c>
      <c r="P23" s="33">
        <f t="shared" si="26"/>
        <v>0</v>
      </c>
      <c r="Q23" s="36">
        <v>0</v>
      </c>
      <c r="R23" s="43">
        <f t="shared" si="19"/>
        <v>0</v>
      </c>
      <c r="S23" s="36"/>
      <c r="T23" s="36"/>
      <c r="U23" s="146">
        <f>U8/B8*B23</f>
        <v>41638.291011039073</v>
      </c>
      <c r="V23" s="36">
        <f t="shared" si="20"/>
        <v>116.59518101103906</v>
      </c>
      <c r="W23" s="36">
        <f t="shared" si="21"/>
        <v>105.74175</v>
      </c>
      <c r="X23" s="36">
        <f t="shared" si="22"/>
        <v>0</v>
      </c>
      <c r="Y23" s="43">
        <f t="shared" si="23"/>
        <v>140.989</v>
      </c>
      <c r="Z23" s="47"/>
      <c r="AA23" s="47"/>
    </row>
    <row r="24" spans="1:38" s="117" customFormat="1" ht="9.9499999999999993" customHeight="1" x14ac:dyDescent="0.15">
      <c r="A24" s="144" t="s">
        <v>1</v>
      </c>
      <c r="B24" s="134">
        <v>0.05</v>
      </c>
      <c r="C24" s="145">
        <f t="shared" si="14"/>
        <v>38.158145505519542</v>
      </c>
      <c r="D24" s="43">
        <f t="shared" si="24"/>
        <v>38158.14550551954</v>
      </c>
      <c r="E24" s="36">
        <v>17339</v>
      </c>
      <c r="F24" s="43">
        <f t="shared" si="15"/>
        <v>18.129750000000001</v>
      </c>
      <c r="G24" s="36"/>
      <c r="H24" s="36">
        <f t="shared" si="25"/>
        <v>18129.75</v>
      </c>
      <c r="I24" s="36"/>
      <c r="J24" s="36"/>
      <c r="K24" s="43">
        <f t="shared" si="16"/>
        <v>24.172999999999998</v>
      </c>
      <c r="L24" s="36">
        <v>24173</v>
      </c>
      <c r="M24" s="43">
        <f t="shared" si="17"/>
        <v>0</v>
      </c>
      <c r="N24" s="36"/>
      <c r="O24" s="43">
        <f t="shared" si="18"/>
        <v>0</v>
      </c>
      <c r="P24" s="33">
        <f t="shared" si="26"/>
        <v>0</v>
      </c>
      <c r="Q24" s="36">
        <v>0</v>
      </c>
      <c r="R24" s="43">
        <f t="shared" si="19"/>
        <v>0</v>
      </c>
      <c r="S24" s="36"/>
      <c r="T24" s="36"/>
      <c r="U24" s="146">
        <f>U8/B8*B24</f>
        <v>20819.145505519537</v>
      </c>
      <c r="V24" s="36">
        <f t="shared" si="20"/>
        <v>38.158145505519542</v>
      </c>
      <c r="W24" s="36">
        <f t="shared" si="21"/>
        <v>18.129750000000001</v>
      </c>
      <c r="X24" s="36">
        <f t="shared" si="22"/>
        <v>0</v>
      </c>
      <c r="Y24" s="43">
        <f t="shared" si="23"/>
        <v>24.172999999999998</v>
      </c>
      <c r="Z24" s="47"/>
      <c r="AA24" s="47"/>
    </row>
    <row r="25" spans="1:38" s="117" customFormat="1" ht="9.9499999999999993" customHeight="1" x14ac:dyDescent="0.15">
      <c r="A25" s="144" t="s">
        <v>2</v>
      </c>
      <c r="B25" s="134">
        <v>0.25</v>
      </c>
      <c r="C25" s="145">
        <f t="shared" si="14"/>
        <v>104.57872752759768</v>
      </c>
      <c r="D25" s="43">
        <f t="shared" si="24"/>
        <v>104578.72752759767</v>
      </c>
      <c r="E25" s="36">
        <v>483</v>
      </c>
      <c r="F25" s="43">
        <f t="shared" si="15"/>
        <v>143.74725000000001</v>
      </c>
      <c r="G25" s="36">
        <f>I25/2</f>
        <v>35400</v>
      </c>
      <c r="H25" s="36">
        <f t="shared" si="25"/>
        <v>143747.25</v>
      </c>
      <c r="I25" s="36">
        <v>70800</v>
      </c>
      <c r="J25" s="36"/>
      <c r="K25" s="43">
        <f t="shared" si="16"/>
        <v>191.66300000000001</v>
      </c>
      <c r="L25" s="36">
        <v>191663</v>
      </c>
      <c r="M25" s="43">
        <f t="shared" si="17"/>
        <v>0</v>
      </c>
      <c r="N25" s="36"/>
      <c r="O25" s="43">
        <f t="shared" si="18"/>
        <v>0</v>
      </c>
      <c r="P25" s="33">
        <f t="shared" si="26"/>
        <v>0</v>
      </c>
      <c r="Q25" s="36">
        <v>0</v>
      </c>
      <c r="R25" s="43">
        <f t="shared" si="19"/>
        <v>0</v>
      </c>
      <c r="S25" s="36"/>
      <c r="T25" s="36"/>
      <c r="U25" s="146">
        <f>U8/B8*B25</f>
        <v>104095.72752759767</v>
      </c>
      <c r="V25" s="36">
        <f t="shared" si="20"/>
        <v>104.57872752759768</v>
      </c>
      <c r="W25" s="36">
        <f t="shared" si="21"/>
        <v>143.74725000000001</v>
      </c>
      <c r="X25" s="36">
        <f t="shared" si="22"/>
        <v>0</v>
      </c>
      <c r="Y25" s="43">
        <f t="shared" si="23"/>
        <v>191.66300000000001</v>
      </c>
      <c r="Z25" s="47"/>
      <c r="AA25" s="47"/>
    </row>
    <row r="26" spans="1:38" s="117" customFormat="1" ht="9.9499999999999993" customHeight="1" x14ac:dyDescent="0.15">
      <c r="A26" s="144" t="s">
        <v>3</v>
      </c>
      <c r="B26" s="134">
        <v>0.3</v>
      </c>
      <c r="C26" s="145">
        <f t="shared" si="14"/>
        <v>175.3428730331172</v>
      </c>
      <c r="D26" s="43">
        <f t="shared" si="24"/>
        <v>175342.87303311721</v>
      </c>
      <c r="E26" s="36">
        <v>50428</v>
      </c>
      <c r="F26" s="43">
        <f t="shared" si="15"/>
        <v>243.77625</v>
      </c>
      <c r="G26" s="36">
        <f>I26/2</f>
        <v>90000</v>
      </c>
      <c r="H26" s="36">
        <f t="shared" si="25"/>
        <v>243776.25</v>
      </c>
      <c r="I26" s="36">
        <v>180000</v>
      </c>
      <c r="J26" s="36"/>
      <c r="K26" s="43">
        <f t="shared" si="16"/>
        <v>325.03500000000003</v>
      </c>
      <c r="L26" s="36">
        <v>325035</v>
      </c>
      <c r="M26" s="43">
        <f t="shared" si="17"/>
        <v>0</v>
      </c>
      <c r="N26" s="36"/>
      <c r="O26" s="43">
        <f t="shared" si="18"/>
        <v>-37.5</v>
      </c>
      <c r="P26" s="33">
        <f t="shared" si="26"/>
        <v>37500</v>
      </c>
      <c r="Q26" s="36">
        <v>0</v>
      </c>
      <c r="R26" s="43">
        <f t="shared" si="19"/>
        <v>-50</v>
      </c>
      <c r="S26" s="36">
        <v>50000</v>
      </c>
      <c r="T26" s="36"/>
      <c r="U26" s="146">
        <f>U8/B8*B26</f>
        <v>124914.8730331172</v>
      </c>
      <c r="V26" s="36">
        <f t="shared" si="20"/>
        <v>175.3428730331172</v>
      </c>
      <c r="W26" s="36">
        <f t="shared" si="21"/>
        <v>206.27625</v>
      </c>
      <c r="X26" s="36">
        <f t="shared" si="22"/>
        <v>0</v>
      </c>
      <c r="Y26" s="43">
        <f t="shared" si="23"/>
        <v>275.03500000000003</v>
      </c>
      <c r="Z26" s="47"/>
      <c r="AA26" s="47"/>
    </row>
    <row r="27" spans="1:38" s="117" customFormat="1" ht="9.9499999999999993" customHeight="1" x14ac:dyDescent="0.15">
      <c r="A27" s="144" t="s">
        <v>4</v>
      </c>
      <c r="B27" s="134">
        <v>0.6</v>
      </c>
      <c r="C27" s="145">
        <f t="shared" si="14"/>
        <v>255.65174606623438</v>
      </c>
      <c r="D27" s="43">
        <f t="shared" si="24"/>
        <v>255651.74606623439</v>
      </c>
      <c r="E27" s="36">
        <v>5822</v>
      </c>
      <c r="F27" s="43">
        <f t="shared" si="15"/>
        <v>247.17750000000001</v>
      </c>
      <c r="G27" s="36">
        <f>I27/2</f>
        <v>19750</v>
      </c>
      <c r="H27" s="36">
        <f t="shared" si="25"/>
        <v>247177.5</v>
      </c>
      <c r="I27" s="36">
        <v>39500</v>
      </c>
      <c r="J27" s="36"/>
      <c r="K27" s="43">
        <f t="shared" si="16"/>
        <v>329.57</v>
      </c>
      <c r="L27" s="36">
        <v>329570</v>
      </c>
      <c r="M27" s="43">
        <f t="shared" si="17"/>
        <v>0</v>
      </c>
      <c r="N27" s="36"/>
      <c r="O27" s="43">
        <f t="shared" si="18"/>
        <v>0</v>
      </c>
      <c r="P27" s="33">
        <f t="shared" si="26"/>
        <v>0</v>
      </c>
      <c r="Q27" s="36">
        <v>0</v>
      </c>
      <c r="R27" s="43">
        <f t="shared" si="19"/>
        <v>0</v>
      </c>
      <c r="S27" s="36"/>
      <c r="T27" s="36"/>
      <c r="U27" s="146">
        <f>U8/B8*B27</f>
        <v>249829.74606623439</v>
      </c>
      <c r="V27" s="36">
        <f t="shared" si="20"/>
        <v>255.65174606623438</v>
      </c>
      <c r="W27" s="36">
        <f t="shared" si="21"/>
        <v>247.17750000000001</v>
      </c>
      <c r="X27" s="36">
        <f t="shared" si="22"/>
        <v>0</v>
      </c>
      <c r="Y27" s="43">
        <f t="shared" si="23"/>
        <v>329.57</v>
      </c>
      <c r="Z27" s="47"/>
      <c r="AA27" s="47"/>
    </row>
    <row r="28" spans="1:38" s="118" customFormat="1" ht="9.9499999999999993" customHeight="1" x14ac:dyDescent="0.15">
      <c r="A28" s="142" t="s">
        <v>55</v>
      </c>
      <c r="B28" s="125">
        <f>SUM(B29:B30)</f>
        <v>0.45</v>
      </c>
      <c r="C28" s="140">
        <f t="shared" si="14"/>
        <v>241.18724954967581</v>
      </c>
      <c r="D28" s="41">
        <f t="shared" si="24"/>
        <v>241187.24954967582</v>
      </c>
      <c r="E28" s="33">
        <f>SUM(E29:E30)</f>
        <v>53814.94</v>
      </c>
      <c r="F28" s="41">
        <f t="shared" si="15"/>
        <v>943.16475000000003</v>
      </c>
      <c r="G28" s="33">
        <f>I28/2</f>
        <v>20000</v>
      </c>
      <c r="H28" s="33">
        <f t="shared" si="25"/>
        <v>943164.75</v>
      </c>
      <c r="I28" s="33">
        <v>40000</v>
      </c>
      <c r="J28" s="33">
        <f>J29+J30</f>
        <v>0</v>
      </c>
      <c r="K28" s="41">
        <f t="shared" si="16"/>
        <v>1257.5530000000001</v>
      </c>
      <c r="L28" s="33">
        <f>SUM(L29:L30)</f>
        <v>1257553</v>
      </c>
      <c r="M28" s="41">
        <f t="shared" si="17"/>
        <v>0</v>
      </c>
      <c r="N28" s="33">
        <f>N29+N30</f>
        <v>0</v>
      </c>
      <c r="O28" s="41">
        <f t="shared" si="18"/>
        <v>-750</v>
      </c>
      <c r="P28" s="33">
        <f>P29+P30</f>
        <v>750000</v>
      </c>
      <c r="Q28" s="33">
        <v>0</v>
      </c>
      <c r="R28" s="41">
        <f t="shared" si="19"/>
        <v>-1000</v>
      </c>
      <c r="S28" s="33">
        <v>1000000</v>
      </c>
      <c r="T28" s="33"/>
      <c r="U28" s="143">
        <f>U8/B8*B28</f>
        <v>187372.30954967582</v>
      </c>
      <c r="V28" s="33">
        <f t="shared" si="20"/>
        <v>241.18724954967581</v>
      </c>
      <c r="W28" s="33">
        <f t="shared" si="21"/>
        <v>193.16475000000003</v>
      </c>
      <c r="X28" s="33">
        <f t="shared" si="22"/>
        <v>0</v>
      </c>
      <c r="Y28" s="41">
        <f t="shared" si="23"/>
        <v>257.55300000000011</v>
      </c>
      <c r="Z28" s="47"/>
      <c r="AA28" s="47"/>
    </row>
    <row r="29" spans="1:38" s="117" customFormat="1" ht="9.9499999999999993" customHeight="1" x14ac:dyDescent="0.15">
      <c r="A29" s="144" t="s">
        <v>92</v>
      </c>
      <c r="B29" s="134">
        <v>0.4</v>
      </c>
      <c r="C29" s="145">
        <f t="shared" si="14"/>
        <v>176.28810404415628</v>
      </c>
      <c r="D29" s="43">
        <f t="shared" si="24"/>
        <v>176288.10404415629</v>
      </c>
      <c r="E29" s="36">
        <v>9734.94</v>
      </c>
      <c r="F29" s="43">
        <f t="shared" si="15"/>
        <v>175.035</v>
      </c>
      <c r="G29" s="36">
        <v>20000</v>
      </c>
      <c r="H29" s="36">
        <f t="shared" si="25"/>
        <v>175035</v>
      </c>
      <c r="I29" s="36">
        <v>40000</v>
      </c>
      <c r="J29" s="36"/>
      <c r="K29" s="43">
        <f t="shared" si="16"/>
        <v>233.38</v>
      </c>
      <c r="L29" s="36">
        <v>233380</v>
      </c>
      <c r="M29" s="43">
        <f t="shared" si="17"/>
        <v>0</v>
      </c>
      <c r="N29" s="36"/>
      <c r="O29" s="43">
        <f t="shared" si="18"/>
        <v>0</v>
      </c>
      <c r="P29" s="36">
        <f>S29*0.75</f>
        <v>0</v>
      </c>
      <c r="Q29" s="36">
        <v>0</v>
      </c>
      <c r="R29" s="43">
        <f t="shared" si="19"/>
        <v>0</v>
      </c>
      <c r="S29" s="36"/>
      <c r="T29" s="36"/>
      <c r="U29" s="146">
        <f>U8/B8*B29</f>
        <v>166553.16404415629</v>
      </c>
      <c r="V29" s="36">
        <f t="shared" si="20"/>
        <v>176.28810404415628</v>
      </c>
      <c r="W29" s="36">
        <f t="shared" si="21"/>
        <v>175.035</v>
      </c>
      <c r="X29" s="36">
        <f t="shared" si="22"/>
        <v>0</v>
      </c>
      <c r="Y29" s="43">
        <f t="shared" si="23"/>
        <v>233.38</v>
      </c>
      <c r="Z29" s="47"/>
      <c r="AA29" s="47"/>
    </row>
    <row r="30" spans="1:38" s="117" customFormat="1" ht="9.9499999999999993" customHeight="1" x14ac:dyDescent="0.15">
      <c r="A30" s="144" t="s">
        <v>54</v>
      </c>
      <c r="B30" s="134">
        <v>0.05</v>
      </c>
      <c r="C30" s="145">
        <f t="shared" si="14"/>
        <v>64.899145505519542</v>
      </c>
      <c r="D30" s="43">
        <f t="shared" si="24"/>
        <v>64899.14550551954</v>
      </c>
      <c r="E30" s="36">
        <v>44080</v>
      </c>
      <c r="F30" s="43">
        <f t="shared" si="15"/>
        <v>768.12974999999994</v>
      </c>
      <c r="G30" s="36"/>
      <c r="H30" s="36">
        <f t="shared" si="25"/>
        <v>768129.75</v>
      </c>
      <c r="I30" s="36"/>
      <c r="J30" s="36"/>
      <c r="K30" s="43">
        <f t="shared" si="16"/>
        <v>1024.173</v>
      </c>
      <c r="L30" s="36">
        <v>1024173</v>
      </c>
      <c r="M30" s="43">
        <f t="shared" si="17"/>
        <v>0</v>
      </c>
      <c r="N30" s="36"/>
      <c r="O30" s="43">
        <f t="shared" si="18"/>
        <v>-750</v>
      </c>
      <c r="P30" s="36">
        <f>S30*0.75</f>
        <v>750000</v>
      </c>
      <c r="Q30" s="36">
        <v>0</v>
      </c>
      <c r="R30" s="43">
        <f t="shared" si="19"/>
        <v>-1000</v>
      </c>
      <c r="S30" s="36">
        <v>1000000</v>
      </c>
      <c r="T30" s="36"/>
      <c r="U30" s="146">
        <f>U8/B8*B30</f>
        <v>20819.145505519537</v>
      </c>
      <c r="V30" s="36">
        <f t="shared" si="20"/>
        <v>64.899145505519542</v>
      </c>
      <c r="W30" s="36">
        <f t="shared" si="21"/>
        <v>18.129749999999945</v>
      </c>
      <c r="X30" s="36">
        <f t="shared" si="22"/>
        <v>0</v>
      </c>
      <c r="Y30" s="43">
        <f t="shared" si="23"/>
        <v>24.173000000000002</v>
      </c>
      <c r="Z30" s="47"/>
      <c r="AA30" s="47"/>
    </row>
    <row r="31" spans="1:38" s="118" customFormat="1" ht="9.9499999999999993" customHeight="1" x14ac:dyDescent="0.15">
      <c r="A31" s="142" t="s">
        <v>56</v>
      </c>
      <c r="B31" s="125">
        <f>SUM(B32:B35)</f>
        <v>1.9</v>
      </c>
      <c r="C31" s="140">
        <f t="shared" si="14"/>
        <v>877.6565292097423</v>
      </c>
      <c r="D31" s="41">
        <f t="shared" si="24"/>
        <v>877656.52920974232</v>
      </c>
      <c r="E31" s="33">
        <f>SUM(E32:E35)</f>
        <v>86529</v>
      </c>
      <c r="F31" s="41">
        <f t="shared" si="15"/>
        <v>1551.41625</v>
      </c>
      <c r="G31" s="33">
        <f>I31/2</f>
        <v>75000</v>
      </c>
      <c r="H31" s="33">
        <f t="shared" si="25"/>
        <v>1551416.25</v>
      </c>
      <c r="I31" s="33">
        <v>150000</v>
      </c>
      <c r="J31" s="33">
        <f>J32+J33+J34+J35</f>
        <v>0</v>
      </c>
      <c r="K31" s="41">
        <f t="shared" si="16"/>
        <v>2068.5549999999998</v>
      </c>
      <c r="L31" s="33">
        <f>SUM(L32:L35)</f>
        <v>2068555</v>
      </c>
      <c r="M31" s="41">
        <f t="shared" si="17"/>
        <v>0</v>
      </c>
      <c r="N31" s="33">
        <f>N33+N32+N34+N35</f>
        <v>0</v>
      </c>
      <c r="O31" s="41">
        <f t="shared" si="18"/>
        <v>-750</v>
      </c>
      <c r="P31" s="33">
        <f>P32+P33+P35+P34</f>
        <v>750000</v>
      </c>
      <c r="Q31" s="33">
        <v>0</v>
      </c>
      <c r="R31" s="41">
        <f t="shared" si="19"/>
        <v>-1000</v>
      </c>
      <c r="S31" s="33">
        <v>1000000</v>
      </c>
      <c r="T31" s="33"/>
      <c r="U31" s="143">
        <f>U8/B8*B31</f>
        <v>791127.52920974232</v>
      </c>
      <c r="V31" s="33">
        <f t="shared" si="20"/>
        <v>877.6565292097423</v>
      </c>
      <c r="W31" s="33">
        <f t="shared" si="21"/>
        <v>801.41624999999999</v>
      </c>
      <c r="X31" s="33">
        <f t="shared" si="22"/>
        <v>0</v>
      </c>
      <c r="Y31" s="41">
        <f t="shared" si="23"/>
        <v>1068.5549999999998</v>
      </c>
      <c r="Z31" s="47"/>
      <c r="AA31" s="47"/>
    </row>
    <row r="32" spans="1:38" s="117" customFormat="1" ht="9.9499999999999993" customHeight="1" x14ac:dyDescent="0.15">
      <c r="A32" s="144" t="s">
        <v>6</v>
      </c>
      <c r="B32" s="134">
        <v>0.8</v>
      </c>
      <c r="C32" s="145">
        <f t="shared" si="14"/>
        <v>370.77432808831259</v>
      </c>
      <c r="D32" s="43">
        <f t="shared" si="24"/>
        <v>370774.32808831258</v>
      </c>
      <c r="E32" s="36">
        <v>37668</v>
      </c>
      <c r="F32" s="43">
        <f t="shared" si="15"/>
        <v>327.57</v>
      </c>
      <c r="G32" s="36">
        <f>I32/2</f>
        <v>25000</v>
      </c>
      <c r="H32" s="36">
        <f t="shared" si="25"/>
        <v>327570</v>
      </c>
      <c r="I32" s="36">
        <v>50000</v>
      </c>
      <c r="J32" s="36"/>
      <c r="K32" s="43">
        <f t="shared" si="16"/>
        <v>436.76</v>
      </c>
      <c r="L32" s="36">
        <v>436760</v>
      </c>
      <c r="M32" s="43">
        <f t="shared" si="17"/>
        <v>0</v>
      </c>
      <c r="N32" s="36"/>
      <c r="O32" s="43">
        <f t="shared" si="18"/>
        <v>0</v>
      </c>
      <c r="P32" s="36">
        <f>S32*0.75</f>
        <v>0</v>
      </c>
      <c r="Q32" s="36">
        <v>0</v>
      </c>
      <c r="R32" s="43">
        <f t="shared" si="19"/>
        <v>0</v>
      </c>
      <c r="S32" s="36"/>
      <c r="T32" s="36"/>
      <c r="U32" s="146">
        <f>U8/B8*B32</f>
        <v>333106.32808831258</v>
      </c>
      <c r="V32" s="36">
        <f t="shared" si="20"/>
        <v>370.77432808831259</v>
      </c>
      <c r="W32" s="36">
        <f t="shared" si="21"/>
        <v>327.57</v>
      </c>
      <c r="X32" s="36">
        <f t="shared" si="22"/>
        <v>0</v>
      </c>
      <c r="Y32" s="43">
        <f t="shared" si="23"/>
        <v>436.76</v>
      </c>
      <c r="Z32" s="47"/>
      <c r="AA32" s="47"/>
    </row>
    <row r="33" spans="1:27" s="117" customFormat="1" ht="9.9499999999999993" customHeight="1" x14ac:dyDescent="0.15">
      <c r="A33" s="144" t="s">
        <v>109</v>
      </c>
      <c r="B33" s="134">
        <v>0.2</v>
      </c>
      <c r="C33" s="145">
        <f t="shared" si="14"/>
        <v>84.976582022078148</v>
      </c>
      <c r="D33" s="43">
        <f t="shared" si="24"/>
        <v>84976.582022078146</v>
      </c>
      <c r="E33" s="36">
        <v>1700</v>
      </c>
      <c r="F33" s="43">
        <f t="shared" si="15"/>
        <v>72.517499999999998</v>
      </c>
      <c r="G33" s="36"/>
      <c r="H33" s="36">
        <f t="shared" si="25"/>
        <v>72517.5</v>
      </c>
      <c r="I33" s="36"/>
      <c r="J33" s="36"/>
      <c r="K33" s="43">
        <f t="shared" si="16"/>
        <v>96.69</v>
      </c>
      <c r="L33" s="36">
        <v>96690</v>
      </c>
      <c r="M33" s="43">
        <f t="shared" si="17"/>
        <v>0</v>
      </c>
      <c r="N33" s="36"/>
      <c r="O33" s="43">
        <f t="shared" si="18"/>
        <v>0</v>
      </c>
      <c r="P33" s="36">
        <f>S33*0.75</f>
        <v>0</v>
      </c>
      <c r="Q33" s="36">
        <v>0</v>
      </c>
      <c r="R33" s="43">
        <f t="shared" si="19"/>
        <v>0</v>
      </c>
      <c r="S33" s="36"/>
      <c r="T33" s="36"/>
      <c r="U33" s="146">
        <f>U8/B8*B33</f>
        <v>83276.582022078146</v>
      </c>
      <c r="V33" s="36">
        <f t="shared" si="20"/>
        <v>84.976582022078148</v>
      </c>
      <c r="W33" s="36">
        <f t="shared" si="21"/>
        <v>72.517499999999998</v>
      </c>
      <c r="X33" s="36">
        <f t="shared" si="22"/>
        <v>0</v>
      </c>
      <c r="Y33" s="43">
        <f t="shared" si="23"/>
        <v>96.69</v>
      </c>
      <c r="Z33" s="47"/>
      <c r="AA33" s="47"/>
    </row>
    <row r="34" spans="1:27" s="117" customFormat="1" ht="9.9499999999999993" customHeight="1" x14ac:dyDescent="0.15">
      <c r="A34" s="144" t="s">
        <v>116</v>
      </c>
      <c r="B34" s="134">
        <v>0.5</v>
      </c>
      <c r="C34" s="145">
        <f t="shared" si="14"/>
        <v>254.87145505519536</v>
      </c>
      <c r="D34" s="43">
        <f t="shared" si="24"/>
        <v>254871.45505519534</v>
      </c>
      <c r="E34" s="36">
        <f>40650+41905.89+6030-41905.89</f>
        <v>46680</v>
      </c>
      <c r="F34" s="43">
        <f t="shared" si="15"/>
        <v>1006.29375</v>
      </c>
      <c r="G34" s="36">
        <f>I34/2</f>
        <v>50000</v>
      </c>
      <c r="H34" s="36">
        <f t="shared" si="25"/>
        <v>1006293.75</v>
      </c>
      <c r="I34" s="36">
        <v>100000</v>
      </c>
      <c r="J34" s="36"/>
      <c r="K34" s="43">
        <f t="shared" si="16"/>
        <v>1341.7249999999999</v>
      </c>
      <c r="L34" s="36">
        <v>1341725</v>
      </c>
      <c r="M34" s="43">
        <f t="shared" si="17"/>
        <v>0</v>
      </c>
      <c r="N34" s="36"/>
      <c r="O34" s="43">
        <f t="shared" si="18"/>
        <v>-750</v>
      </c>
      <c r="P34" s="36">
        <f>S34*0.75</f>
        <v>750000</v>
      </c>
      <c r="Q34" s="36">
        <v>0</v>
      </c>
      <c r="R34" s="43">
        <f t="shared" si="19"/>
        <v>-1000</v>
      </c>
      <c r="S34" s="36">
        <v>1000000</v>
      </c>
      <c r="T34" s="36"/>
      <c r="U34" s="146">
        <f>U8/B8*B34</f>
        <v>208191.45505519534</v>
      </c>
      <c r="V34" s="36">
        <f t="shared" si="20"/>
        <v>254.87145505519536</v>
      </c>
      <c r="W34" s="36">
        <f t="shared" si="21"/>
        <v>256.29375000000005</v>
      </c>
      <c r="X34" s="36">
        <f t="shared" si="22"/>
        <v>0</v>
      </c>
      <c r="Y34" s="43">
        <f t="shared" si="23"/>
        <v>341.72499999999991</v>
      </c>
      <c r="Z34" s="47"/>
      <c r="AA34" s="47"/>
    </row>
    <row r="35" spans="1:27" s="117" customFormat="1" ht="9.9499999999999993" customHeight="1" x14ac:dyDescent="0.15">
      <c r="A35" s="144" t="s">
        <v>7</v>
      </c>
      <c r="B35" s="134">
        <v>0.4</v>
      </c>
      <c r="C35" s="145">
        <f t="shared" si="14"/>
        <v>167.03416404415628</v>
      </c>
      <c r="D35" s="43">
        <f t="shared" si="24"/>
        <v>167034.16404415629</v>
      </c>
      <c r="E35" s="36">
        <f>232+249</f>
        <v>481</v>
      </c>
      <c r="F35" s="43">
        <f t="shared" si="15"/>
        <v>145.035</v>
      </c>
      <c r="G35" s="36"/>
      <c r="H35" s="36">
        <f t="shared" si="25"/>
        <v>145035</v>
      </c>
      <c r="I35" s="36"/>
      <c r="J35" s="36"/>
      <c r="K35" s="43">
        <f t="shared" si="16"/>
        <v>193.38</v>
      </c>
      <c r="L35" s="36">
        <v>193380</v>
      </c>
      <c r="M35" s="43">
        <f t="shared" si="17"/>
        <v>0</v>
      </c>
      <c r="N35" s="36"/>
      <c r="O35" s="43">
        <f t="shared" si="18"/>
        <v>0</v>
      </c>
      <c r="P35" s="36">
        <f>S35*0.75</f>
        <v>0</v>
      </c>
      <c r="Q35" s="36">
        <v>0</v>
      </c>
      <c r="R35" s="43">
        <f t="shared" si="19"/>
        <v>0</v>
      </c>
      <c r="S35" s="36"/>
      <c r="T35" s="36"/>
      <c r="U35" s="146">
        <f>U8/B8*B35</f>
        <v>166553.16404415629</v>
      </c>
      <c r="V35" s="36">
        <f t="shared" si="20"/>
        <v>167.03416404415628</v>
      </c>
      <c r="W35" s="36">
        <f t="shared" si="21"/>
        <v>145.035</v>
      </c>
      <c r="X35" s="36">
        <f t="shared" si="22"/>
        <v>0</v>
      </c>
      <c r="Y35" s="43">
        <f t="shared" si="23"/>
        <v>193.38</v>
      </c>
      <c r="Z35" s="47"/>
      <c r="AA35" s="47"/>
    </row>
    <row r="36" spans="1:27" s="118" customFormat="1" ht="9.9499999999999993" customHeight="1" x14ac:dyDescent="0.15">
      <c r="A36" s="142" t="s">
        <v>59</v>
      </c>
      <c r="B36" s="125">
        <f>SUM(B37:B41)</f>
        <v>3.85</v>
      </c>
      <c r="C36" s="140">
        <f t="shared" si="14"/>
        <v>3761.8392039250043</v>
      </c>
      <c r="D36" s="41">
        <f t="shared" si="24"/>
        <v>3761839.2039250042</v>
      </c>
      <c r="E36" s="33">
        <f>SUM(E37:E41)</f>
        <v>2158765</v>
      </c>
      <c r="F36" s="41">
        <f t="shared" si="15"/>
        <v>4488.5827499999996</v>
      </c>
      <c r="G36" s="33">
        <f>I36/2</f>
        <v>2061747</v>
      </c>
      <c r="H36" s="33">
        <f t="shared" si="25"/>
        <v>4488582.75</v>
      </c>
      <c r="I36" s="33">
        <v>4123494</v>
      </c>
      <c r="J36" s="33">
        <f>J37+J39+J38+J40+J41</f>
        <v>0</v>
      </c>
      <c r="K36" s="41">
        <f t="shared" si="16"/>
        <v>5984.777</v>
      </c>
      <c r="L36" s="33">
        <f>SUM(L37:L41)</f>
        <v>5984777</v>
      </c>
      <c r="M36" s="41">
        <f t="shared" si="17"/>
        <v>-1213.7929999999999</v>
      </c>
      <c r="N36" s="33">
        <f>N37+N38+N39+N40+N41</f>
        <v>1213793</v>
      </c>
      <c r="O36" s="41">
        <f t="shared" si="18"/>
        <v>-2844.375</v>
      </c>
      <c r="P36" s="33">
        <f>P37+P38+P39+P40+P41</f>
        <v>2844375</v>
      </c>
      <c r="Q36" s="33">
        <f>Q37+Q38+Q39+Q41+Q40</f>
        <v>0</v>
      </c>
      <c r="R36" s="41">
        <f t="shared" si="19"/>
        <v>-3792.5</v>
      </c>
      <c r="S36" s="33">
        <f>S38+S39+S40+S41</f>
        <v>3792500</v>
      </c>
      <c r="T36" s="33"/>
      <c r="U36" s="143">
        <f>U8/B8*B36</f>
        <v>1603074.2039250042</v>
      </c>
      <c r="V36" s="33">
        <f t="shared" si="20"/>
        <v>2548.0462039250042</v>
      </c>
      <c r="W36" s="33">
        <f t="shared" si="21"/>
        <v>1644.2077499999996</v>
      </c>
      <c r="X36" s="33">
        <f t="shared" si="22"/>
        <v>0</v>
      </c>
      <c r="Y36" s="41">
        <f t="shared" si="23"/>
        <v>2192.277</v>
      </c>
      <c r="Z36" s="47"/>
      <c r="AA36" s="47"/>
    </row>
    <row r="37" spans="1:27" s="117" customFormat="1" ht="9.9499999999999993" customHeight="1" x14ac:dyDescent="0.15">
      <c r="A37" s="144" t="s">
        <v>8</v>
      </c>
      <c r="B37" s="134">
        <v>0.6</v>
      </c>
      <c r="C37" s="145">
        <f t="shared" si="14"/>
        <v>299.65374606623442</v>
      </c>
      <c r="D37" s="43">
        <f t="shared" si="24"/>
        <v>299653.74606623442</v>
      </c>
      <c r="E37" s="36">
        <v>49824</v>
      </c>
      <c r="F37" s="43">
        <f t="shared" si="15"/>
        <v>303.80250000000001</v>
      </c>
      <c r="G37" s="36">
        <f>I37/2</f>
        <v>57500</v>
      </c>
      <c r="H37" s="36">
        <f t="shared" si="25"/>
        <v>303802.5</v>
      </c>
      <c r="I37" s="36">
        <v>115000</v>
      </c>
      <c r="J37" s="36"/>
      <c r="K37" s="43">
        <f t="shared" si="16"/>
        <v>405.07</v>
      </c>
      <c r="L37" s="36">
        <v>405070</v>
      </c>
      <c r="M37" s="43">
        <f t="shared" si="17"/>
        <v>0</v>
      </c>
      <c r="N37" s="36"/>
      <c r="O37" s="43">
        <f t="shared" si="18"/>
        <v>0</v>
      </c>
      <c r="P37" s="36">
        <f>S37*0.75</f>
        <v>0</v>
      </c>
      <c r="Q37" s="36">
        <v>0</v>
      </c>
      <c r="R37" s="43">
        <f t="shared" si="19"/>
        <v>0</v>
      </c>
      <c r="S37" s="36"/>
      <c r="T37" s="36"/>
      <c r="U37" s="146">
        <f>U8/B8*B37</f>
        <v>249829.74606623439</v>
      </c>
      <c r="V37" s="36">
        <f t="shared" si="20"/>
        <v>299.65374606623442</v>
      </c>
      <c r="W37" s="36">
        <f t="shared" si="21"/>
        <v>303.80250000000001</v>
      </c>
      <c r="X37" s="36">
        <f t="shared" si="22"/>
        <v>0</v>
      </c>
      <c r="Y37" s="43">
        <f t="shared" si="23"/>
        <v>405.07</v>
      </c>
      <c r="Z37" s="47"/>
      <c r="AA37" s="47"/>
    </row>
    <row r="38" spans="1:27" s="117" customFormat="1" ht="9.9499999999999993" customHeight="1" x14ac:dyDescent="0.15">
      <c r="A38" s="144" t="s">
        <v>9</v>
      </c>
      <c r="B38" s="134">
        <v>1.4</v>
      </c>
      <c r="C38" s="145">
        <f t="shared" si="14"/>
        <v>621.67507415454691</v>
      </c>
      <c r="D38" s="43">
        <f t="shared" si="24"/>
        <v>621675.07415454695</v>
      </c>
      <c r="E38" s="36">
        <v>38739</v>
      </c>
      <c r="F38" s="43">
        <f t="shared" si="15"/>
        <v>780.62249999999995</v>
      </c>
      <c r="G38" s="36">
        <f>I38/2</f>
        <v>32000</v>
      </c>
      <c r="H38" s="36">
        <f t="shared" si="25"/>
        <v>780622.5</v>
      </c>
      <c r="I38" s="36">
        <v>64000</v>
      </c>
      <c r="J38" s="36"/>
      <c r="K38" s="43">
        <f t="shared" si="16"/>
        <v>1040.83</v>
      </c>
      <c r="L38" s="36">
        <v>1040830</v>
      </c>
      <c r="M38" s="43">
        <f t="shared" si="17"/>
        <v>-2</v>
      </c>
      <c r="N38" s="36">
        <v>2000</v>
      </c>
      <c r="O38" s="43">
        <f t="shared" si="18"/>
        <v>-225</v>
      </c>
      <c r="P38" s="36">
        <f>S38*0.75</f>
        <v>225000</v>
      </c>
      <c r="Q38" s="36">
        <v>0</v>
      </c>
      <c r="R38" s="43">
        <f t="shared" si="19"/>
        <v>-300</v>
      </c>
      <c r="S38" s="36">
        <v>300000</v>
      </c>
      <c r="T38" s="36">
        <v>2000</v>
      </c>
      <c r="U38" s="146">
        <f>U8/B8*B38</f>
        <v>582936.07415454695</v>
      </c>
      <c r="V38" s="36">
        <f t="shared" si="20"/>
        <v>619.67507415454691</v>
      </c>
      <c r="W38" s="36">
        <f t="shared" si="21"/>
        <v>555.62249999999995</v>
      </c>
      <c r="X38" s="36">
        <f t="shared" si="22"/>
        <v>0</v>
      </c>
      <c r="Y38" s="43">
        <f t="shared" si="23"/>
        <v>740.82999999999993</v>
      </c>
      <c r="Z38" s="47"/>
      <c r="AA38" s="47"/>
    </row>
    <row r="39" spans="1:27" s="117" customFormat="1" ht="9.9499999999999993" customHeight="1" x14ac:dyDescent="0.15">
      <c r="A39" s="144" t="s">
        <v>10</v>
      </c>
      <c r="B39" s="134">
        <v>0.35</v>
      </c>
      <c r="C39" s="145">
        <f t="shared" si="14"/>
        <v>194.69201853863675</v>
      </c>
      <c r="D39" s="43">
        <f t="shared" si="24"/>
        <v>194692.01853863674</v>
      </c>
      <c r="E39" s="36">
        <v>48958</v>
      </c>
      <c r="F39" s="43">
        <f t="shared" si="15"/>
        <v>711.90599999999995</v>
      </c>
      <c r="G39" s="36"/>
      <c r="H39" s="36">
        <f t="shared" si="25"/>
        <v>711906</v>
      </c>
      <c r="I39" s="36"/>
      <c r="J39" s="36"/>
      <c r="K39" s="43">
        <f t="shared" si="16"/>
        <v>949.20799999999997</v>
      </c>
      <c r="L39" s="36">
        <v>949208</v>
      </c>
      <c r="M39" s="43">
        <f t="shared" si="17"/>
        <v>-6</v>
      </c>
      <c r="N39" s="36">
        <v>6000</v>
      </c>
      <c r="O39" s="43">
        <f t="shared" si="18"/>
        <v>-585</v>
      </c>
      <c r="P39" s="36">
        <f>S39*0.75</f>
        <v>585000</v>
      </c>
      <c r="Q39" s="36"/>
      <c r="R39" s="43">
        <f t="shared" si="19"/>
        <v>-780</v>
      </c>
      <c r="S39" s="36">
        <v>780000</v>
      </c>
      <c r="T39" s="36">
        <v>6000</v>
      </c>
      <c r="U39" s="146">
        <f>U8/B8*B39</f>
        <v>145734.01853863674</v>
      </c>
      <c r="V39" s="36">
        <f t="shared" si="20"/>
        <v>188.69201853863675</v>
      </c>
      <c r="W39" s="36">
        <f t="shared" si="21"/>
        <v>126.90599999999995</v>
      </c>
      <c r="X39" s="36">
        <f t="shared" si="22"/>
        <v>0</v>
      </c>
      <c r="Y39" s="43">
        <f t="shared" si="23"/>
        <v>169.20799999999997</v>
      </c>
      <c r="Z39" s="47"/>
      <c r="AA39" s="47"/>
    </row>
    <row r="40" spans="1:27" s="117" customFormat="1" ht="9.9499999999999993" customHeight="1" x14ac:dyDescent="0.15">
      <c r="A40" s="144" t="s">
        <v>12</v>
      </c>
      <c r="B40" s="134">
        <v>1</v>
      </c>
      <c r="C40" s="145">
        <f t="shared" si="14"/>
        <v>2418.8049101103907</v>
      </c>
      <c r="D40" s="43">
        <f t="shared" si="24"/>
        <v>2418804.9101103907</v>
      </c>
      <c r="E40" s="36">
        <v>2002422</v>
      </c>
      <c r="F40" s="43">
        <f t="shared" si="15"/>
        <v>1646.5830000000001</v>
      </c>
      <c r="G40" s="36"/>
      <c r="H40" s="36">
        <f t="shared" si="25"/>
        <v>1646583</v>
      </c>
      <c r="I40" s="36"/>
      <c r="J40" s="36"/>
      <c r="K40" s="43">
        <f t="shared" si="16"/>
        <v>2195.444</v>
      </c>
      <c r="L40" s="36">
        <v>2195444</v>
      </c>
      <c r="M40" s="43">
        <f t="shared" si="17"/>
        <v>-1205.7929999999999</v>
      </c>
      <c r="N40" s="36">
        <f>455793+750000</f>
        <v>1205793</v>
      </c>
      <c r="O40" s="43">
        <f t="shared" si="18"/>
        <v>-1284.375</v>
      </c>
      <c r="P40" s="36">
        <f>S40*0.75</f>
        <v>1284375</v>
      </c>
      <c r="Q40" s="36"/>
      <c r="R40" s="43">
        <f t="shared" si="19"/>
        <v>-1712.5</v>
      </c>
      <c r="S40" s="36">
        <v>1712500</v>
      </c>
      <c r="T40" s="36">
        <f>750000+455793</f>
        <v>1205793</v>
      </c>
      <c r="U40" s="146">
        <f>U8/B8*B40</f>
        <v>416382.91011039069</v>
      </c>
      <c r="V40" s="36">
        <f t="shared" si="20"/>
        <v>1213.0119101103908</v>
      </c>
      <c r="W40" s="36">
        <f t="shared" si="21"/>
        <v>362.20800000000008</v>
      </c>
      <c r="X40" s="36">
        <f t="shared" si="22"/>
        <v>0</v>
      </c>
      <c r="Y40" s="43">
        <f t="shared" si="23"/>
        <v>482.94399999999996</v>
      </c>
      <c r="Z40" s="47"/>
      <c r="AA40" s="47"/>
    </row>
    <row r="41" spans="1:27" s="117" customFormat="1" ht="9.9499999999999993" customHeight="1" x14ac:dyDescent="0.15">
      <c r="A41" s="144" t="s">
        <v>37</v>
      </c>
      <c r="B41" s="134">
        <v>0.5</v>
      </c>
      <c r="C41" s="145">
        <f t="shared" si="14"/>
        <v>227.01345505519535</v>
      </c>
      <c r="D41" s="43">
        <f t="shared" si="24"/>
        <v>227013.45505519534</v>
      </c>
      <c r="E41" s="36">
        <f>1022+17800</f>
        <v>18822</v>
      </c>
      <c r="F41" s="43">
        <f t="shared" si="15"/>
        <v>1045.66875</v>
      </c>
      <c r="G41" s="36"/>
      <c r="H41" s="36">
        <f t="shared" si="25"/>
        <v>1045668.75</v>
      </c>
      <c r="I41" s="36"/>
      <c r="J41" s="36"/>
      <c r="K41" s="43">
        <f t="shared" si="16"/>
        <v>1394.2249999999999</v>
      </c>
      <c r="L41" s="36">
        <f>150845+1243380</f>
        <v>1394225</v>
      </c>
      <c r="M41" s="43">
        <f t="shared" si="17"/>
        <v>0</v>
      </c>
      <c r="N41" s="36"/>
      <c r="O41" s="43">
        <f t="shared" si="18"/>
        <v>-750</v>
      </c>
      <c r="P41" s="36">
        <f>S41*0.75</f>
        <v>750000</v>
      </c>
      <c r="Q41" s="36">
        <v>0</v>
      </c>
      <c r="R41" s="43">
        <f t="shared" si="19"/>
        <v>-1000</v>
      </c>
      <c r="S41" s="36">
        <v>1000000</v>
      </c>
      <c r="T41" s="36"/>
      <c r="U41" s="146">
        <f>U8/B8*B41</f>
        <v>208191.45505519534</v>
      </c>
      <c r="V41" s="36">
        <f t="shared" si="20"/>
        <v>227.01345505519535</v>
      </c>
      <c r="W41" s="36">
        <f t="shared" si="21"/>
        <v>295.66875000000005</v>
      </c>
      <c r="X41" s="36">
        <f t="shared" si="22"/>
        <v>0</v>
      </c>
      <c r="Y41" s="43">
        <f t="shared" si="23"/>
        <v>394.22499999999991</v>
      </c>
      <c r="Z41" s="47"/>
      <c r="AA41" s="47"/>
    </row>
    <row r="42" spans="1:27" s="118" customFormat="1" ht="9.9499999999999993" customHeight="1" x14ac:dyDescent="0.15">
      <c r="A42" s="142" t="s">
        <v>60</v>
      </c>
      <c r="B42" s="125">
        <f>SUM(B43:B45)</f>
        <v>0.97</v>
      </c>
      <c r="C42" s="140">
        <f t="shared" si="14"/>
        <v>886.44942280707903</v>
      </c>
      <c r="D42" s="41">
        <f t="shared" si="24"/>
        <v>886449.42280707904</v>
      </c>
      <c r="E42" s="33">
        <f>SUM(E43:E45)</f>
        <v>482558</v>
      </c>
      <c r="F42" s="41">
        <f t="shared" si="15"/>
        <v>982.69725000000005</v>
      </c>
      <c r="G42" s="33"/>
      <c r="H42" s="33">
        <f t="shared" si="25"/>
        <v>982697.25</v>
      </c>
      <c r="I42" s="33">
        <v>841316</v>
      </c>
      <c r="J42" s="33">
        <f>J43+J44+J45</f>
        <v>0</v>
      </c>
      <c r="K42" s="41">
        <f t="shared" si="16"/>
        <v>1310.2629999999999</v>
      </c>
      <c r="L42" s="33">
        <f>SUM(L43:L45)</f>
        <v>1310263</v>
      </c>
      <c r="M42" s="41">
        <f t="shared" si="17"/>
        <v>-325</v>
      </c>
      <c r="N42" s="33">
        <f>N43+N44+N45</f>
        <v>325000</v>
      </c>
      <c r="O42" s="41">
        <f t="shared" si="18"/>
        <v>-525</v>
      </c>
      <c r="P42" s="33">
        <f>P43+P44+P45</f>
        <v>525000</v>
      </c>
      <c r="Q42" s="33">
        <f>Q43+Q44+Q45</f>
        <v>0</v>
      </c>
      <c r="R42" s="41">
        <f t="shared" si="19"/>
        <v>-700</v>
      </c>
      <c r="S42" s="33">
        <v>700000</v>
      </c>
      <c r="T42" s="33"/>
      <c r="U42" s="143">
        <f>U8/B8*B42</f>
        <v>403891.42280707898</v>
      </c>
      <c r="V42" s="33">
        <f t="shared" si="20"/>
        <v>561.44942280707903</v>
      </c>
      <c r="W42" s="33">
        <f t="shared" si="21"/>
        <v>457.69725000000005</v>
      </c>
      <c r="X42" s="33">
        <f t="shared" si="22"/>
        <v>0</v>
      </c>
      <c r="Y42" s="41">
        <f t="shared" si="23"/>
        <v>610.26299999999992</v>
      </c>
      <c r="Z42" s="47"/>
      <c r="AA42" s="47"/>
    </row>
    <row r="43" spans="1:27" s="117" customFormat="1" ht="9.9499999999999993" customHeight="1" x14ac:dyDescent="0.15">
      <c r="A43" s="144" t="s">
        <v>13</v>
      </c>
      <c r="B43" s="134">
        <v>0.42</v>
      </c>
      <c r="C43" s="145">
        <f t="shared" si="14"/>
        <v>201.51582224636408</v>
      </c>
      <c r="D43" s="43">
        <f t="shared" si="24"/>
        <v>201515.82224636409</v>
      </c>
      <c r="E43" s="36">
        <v>26635</v>
      </c>
      <c r="F43" s="43">
        <f t="shared" si="15"/>
        <v>174.78675000000001</v>
      </c>
      <c r="G43" s="36"/>
      <c r="H43" s="36">
        <f t="shared" si="25"/>
        <v>174786.75</v>
      </c>
      <c r="I43" s="36">
        <v>30000</v>
      </c>
      <c r="J43" s="36"/>
      <c r="K43" s="43">
        <f t="shared" si="16"/>
        <v>233.04900000000001</v>
      </c>
      <c r="L43" s="36">
        <v>233049</v>
      </c>
      <c r="M43" s="43">
        <f t="shared" si="17"/>
        <v>0</v>
      </c>
      <c r="N43" s="36"/>
      <c r="O43" s="43">
        <f t="shared" si="18"/>
        <v>0</v>
      </c>
      <c r="P43" s="36">
        <f t="shared" ref="P43:P48" si="27">S43*0.75</f>
        <v>0</v>
      </c>
      <c r="Q43" s="36">
        <v>0</v>
      </c>
      <c r="R43" s="43">
        <f t="shared" si="19"/>
        <v>0</v>
      </c>
      <c r="S43" s="36"/>
      <c r="T43" s="36"/>
      <c r="U43" s="146">
        <f>U8/B8*B43</f>
        <v>174880.82224636409</v>
      </c>
      <c r="V43" s="36">
        <f t="shared" si="20"/>
        <v>201.51582224636408</v>
      </c>
      <c r="W43" s="36">
        <f t="shared" si="21"/>
        <v>174.78675000000001</v>
      </c>
      <c r="X43" s="36">
        <f t="shared" si="22"/>
        <v>0</v>
      </c>
      <c r="Y43" s="43">
        <f t="shared" si="23"/>
        <v>233.04900000000001</v>
      </c>
      <c r="Z43" s="47"/>
      <c r="AA43" s="47"/>
    </row>
    <row r="44" spans="1:27" s="117" customFormat="1" ht="9.9499999999999993" customHeight="1" x14ac:dyDescent="0.15">
      <c r="A44" s="144" t="s">
        <v>14</v>
      </c>
      <c r="B44" s="134">
        <v>0.45</v>
      </c>
      <c r="C44" s="145">
        <f t="shared" si="14"/>
        <v>643.29530954967584</v>
      </c>
      <c r="D44" s="43">
        <f t="shared" si="24"/>
        <v>643295.30954967579</v>
      </c>
      <c r="E44" s="36">
        <v>455923</v>
      </c>
      <c r="F44" s="43">
        <f t="shared" si="15"/>
        <v>771.65174999999999</v>
      </c>
      <c r="G44" s="36"/>
      <c r="H44" s="36">
        <f t="shared" si="25"/>
        <v>771651.75</v>
      </c>
      <c r="I44" s="36">
        <v>811316</v>
      </c>
      <c r="J44" s="36"/>
      <c r="K44" s="43">
        <f t="shared" si="16"/>
        <v>1028.8689999999999</v>
      </c>
      <c r="L44" s="36">
        <f>217553+1000+470316+340000</f>
        <v>1028869</v>
      </c>
      <c r="M44" s="43">
        <f t="shared" si="17"/>
        <v>-325</v>
      </c>
      <c r="N44" s="36">
        <v>325000</v>
      </c>
      <c r="O44" s="43">
        <f t="shared" si="18"/>
        <v>-525</v>
      </c>
      <c r="P44" s="36">
        <f t="shared" si="27"/>
        <v>525000</v>
      </c>
      <c r="Q44" s="36"/>
      <c r="R44" s="43">
        <f t="shared" si="19"/>
        <v>-700</v>
      </c>
      <c r="S44" s="36">
        <v>700000</v>
      </c>
      <c r="T44" s="36">
        <v>325000</v>
      </c>
      <c r="U44" s="146">
        <f>U8/B8*B44</f>
        <v>187372.30954967582</v>
      </c>
      <c r="V44" s="36">
        <f t="shared" si="20"/>
        <v>318.29530954967584</v>
      </c>
      <c r="W44" s="36">
        <f t="shared" si="21"/>
        <v>246.65174999999999</v>
      </c>
      <c r="X44" s="36">
        <f t="shared" si="22"/>
        <v>0</v>
      </c>
      <c r="Y44" s="43">
        <f t="shared" si="23"/>
        <v>328.86899999999991</v>
      </c>
      <c r="Z44" s="47"/>
      <c r="AA44" s="47"/>
    </row>
    <row r="45" spans="1:27" s="117" customFormat="1" ht="9.9499999999999993" customHeight="1" x14ac:dyDescent="0.15">
      <c r="A45" s="144" t="s">
        <v>37</v>
      </c>
      <c r="B45" s="134">
        <v>0.1</v>
      </c>
      <c r="C45" s="145">
        <f t="shared" si="14"/>
        <v>41.638291011039072</v>
      </c>
      <c r="D45" s="43">
        <f t="shared" si="24"/>
        <v>41638.291011039073</v>
      </c>
      <c r="E45" s="36"/>
      <c r="F45" s="43">
        <f t="shared" si="15"/>
        <v>36.258749999999999</v>
      </c>
      <c r="G45" s="36"/>
      <c r="H45" s="36">
        <f t="shared" si="25"/>
        <v>36258.75</v>
      </c>
      <c r="I45" s="36"/>
      <c r="J45" s="36"/>
      <c r="K45" s="43">
        <f t="shared" si="16"/>
        <v>48.344999999999999</v>
      </c>
      <c r="L45" s="36">
        <v>48345</v>
      </c>
      <c r="M45" s="43">
        <f t="shared" si="17"/>
        <v>0</v>
      </c>
      <c r="N45" s="36"/>
      <c r="O45" s="43">
        <f t="shared" si="18"/>
        <v>0</v>
      </c>
      <c r="P45" s="36">
        <f t="shared" si="27"/>
        <v>0</v>
      </c>
      <c r="Q45" s="36">
        <v>0</v>
      </c>
      <c r="R45" s="43">
        <f t="shared" si="19"/>
        <v>0</v>
      </c>
      <c r="S45" s="36"/>
      <c r="T45" s="36"/>
      <c r="U45" s="146">
        <f>U8/B8*B45</f>
        <v>41638.291011039073</v>
      </c>
      <c r="V45" s="36">
        <f t="shared" si="20"/>
        <v>41.638291011039072</v>
      </c>
      <c r="W45" s="36">
        <f t="shared" si="21"/>
        <v>36.258749999999999</v>
      </c>
      <c r="X45" s="36">
        <f t="shared" si="22"/>
        <v>0</v>
      </c>
      <c r="Y45" s="43">
        <f t="shared" si="23"/>
        <v>48.344999999999999</v>
      </c>
      <c r="Z45" s="47"/>
      <c r="AA45" s="47"/>
    </row>
    <row r="46" spans="1:27" s="118" customFormat="1" ht="9.9499999999999993" customHeight="1" x14ac:dyDescent="0.15">
      <c r="A46" s="142" t="s">
        <v>61</v>
      </c>
      <c r="B46" s="125">
        <f>SUM(B47:B48)</f>
        <v>0.3</v>
      </c>
      <c r="C46" s="140">
        <f t="shared" si="14"/>
        <v>171.96852303311721</v>
      </c>
      <c r="D46" s="41">
        <f t="shared" si="24"/>
        <v>171968.52303311721</v>
      </c>
      <c r="E46" s="33">
        <f>SUM(E47:E48)</f>
        <v>47053.65</v>
      </c>
      <c r="F46" s="41">
        <f t="shared" si="15"/>
        <v>138.77699999999999</v>
      </c>
      <c r="G46" s="33">
        <f>I46/2</f>
        <v>20000</v>
      </c>
      <c r="H46" s="33">
        <f t="shared" si="25"/>
        <v>138777</v>
      </c>
      <c r="I46" s="33">
        <v>40000</v>
      </c>
      <c r="J46" s="33">
        <f>J47+J48</f>
        <v>0</v>
      </c>
      <c r="K46" s="41">
        <f t="shared" si="16"/>
        <v>185.036</v>
      </c>
      <c r="L46" s="33">
        <f>SUM(L47:L48)</f>
        <v>185036</v>
      </c>
      <c r="M46" s="41">
        <f t="shared" si="17"/>
        <v>0</v>
      </c>
      <c r="N46" s="33">
        <f>N47+N48</f>
        <v>0</v>
      </c>
      <c r="O46" s="41">
        <f t="shared" si="18"/>
        <v>0</v>
      </c>
      <c r="P46" s="36">
        <f t="shared" si="27"/>
        <v>0</v>
      </c>
      <c r="Q46" s="33">
        <v>0</v>
      </c>
      <c r="R46" s="41">
        <f t="shared" si="19"/>
        <v>0</v>
      </c>
      <c r="S46" s="33"/>
      <c r="T46" s="33"/>
      <c r="U46" s="143">
        <f>U8/B8*B46</f>
        <v>124914.8730331172</v>
      </c>
      <c r="V46" s="33">
        <f t="shared" si="20"/>
        <v>171.96852303311721</v>
      </c>
      <c r="W46" s="33">
        <f t="shared" si="21"/>
        <v>138.77699999999999</v>
      </c>
      <c r="X46" s="33">
        <f t="shared" si="22"/>
        <v>0</v>
      </c>
      <c r="Y46" s="41">
        <f t="shared" si="23"/>
        <v>185.036</v>
      </c>
      <c r="Z46" s="47"/>
      <c r="AA46" s="47"/>
    </row>
    <row r="47" spans="1:27" s="117" customFormat="1" ht="9.9499999999999993" customHeight="1" x14ac:dyDescent="0.15">
      <c r="A47" s="144" t="s">
        <v>15</v>
      </c>
      <c r="B47" s="134">
        <v>0.15</v>
      </c>
      <c r="C47" s="145">
        <f t="shared" si="14"/>
        <v>109.10143651655861</v>
      </c>
      <c r="D47" s="43">
        <f t="shared" si="24"/>
        <v>109101.43651655861</v>
      </c>
      <c r="E47" s="36">
        <v>46644</v>
      </c>
      <c r="F47" s="43">
        <f t="shared" si="15"/>
        <v>69.388499999999993</v>
      </c>
      <c r="G47" s="36"/>
      <c r="H47" s="36">
        <f t="shared" si="25"/>
        <v>69388.5</v>
      </c>
      <c r="I47" s="36">
        <v>20000</v>
      </c>
      <c r="J47" s="36"/>
      <c r="K47" s="43">
        <f t="shared" si="16"/>
        <v>92.518000000000001</v>
      </c>
      <c r="L47" s="36">
        <v>92518</v>
      </c>
      <c r="M47" s="43">
        <f t="shared" si="17"/>
        <v>0</v>
      </c>
      <c r="N47" s="36"/>
      <c r="O47" s="43">
        <f t="shared" si="18"/>
        <v>0</v>
      </c>
      <c r="P47" s="36">
        <f t="shared" si="27"/>
        <v>0</v>
      </c>
      <c r="Q47" s="36">
        <v>0</v>
      </c>
      <c r="R47" s="43">
        <f t="shared" si="19"/>
        <v>0</v>
      </c>
      <c r="S47" s="36"/>
      <c r="T47" s="36"/>
      <c r="U47" s="146">
        <f>U8/B8*B47</f>
        <v>62457.436516558599</v>
      </c>
      <c r="V47" s="36">
        <f t="shared" si="20"/>
        <v>109.10143651655861</v>
      </c>
      <c r="W47" s="36">
        <f t="shared" si="21"/>
        <v>69.388499999999993</v>
      </c>
      <c r="X47" s="36">
        <f t="shared" si="22"/>
        <v>0</v>
      </c>
      <c r="Y47" s="43">
        <f t="shared" si="23"/>
        <v>92.518000000000001</v>
      </c>
      <c r="Z47" s="47"/>
      <c r="AA47" s="47"/>
    </row>
    <row r="48" spans="1:27" s="117" customFormat="1" ht="9.9499999999999993" customHeight="1" x14ac:dyDescent="0.15">
      <c r="A48" s="144" t="s">
        <v>16</v>
      </c>
      <c r="B48" s="134">
        <v>0.15</v>
      </c>
      <c r="C48" s="145">
        <f t="shared" si="14"/>
        <v>62.867086516558601</v>
      </c>
      <c r="D48" s="43">
        <f t="shared" si="24"/>
        <v>62867.0865165586</v>
      </c>
      <c r="E48" s="36">
        <v>409.65</v>
      </c>
      <c r="F48" s="43">
        <f t="shared" si="15"/>
        <v>69.388499999999993</v>
      </c>
      <c r="G48" s="36"/>
      <c r="H48" s="36">
        <f t="shared" si="25"/>
        <v>69388.5</v>
      </c>
      <c r="I48" s="36">
        <v>20000</v>
      </c>
      <c r="J48" s="36"/>
      <c r="K48" s="43">
        <f t="shared" si="16"/>
        <v>92.518000000000001</v>
      </c>
      <c r="L48" s="36">
        <v>92518</v>
      </c>
      <c r="M48" s="43">
        <f t="shared" si="17"/>
        <v>0</v>
      </c>
      <c r="N48" s="36"/>
      <c r="O48" s="43">
        <f t="shared" si="18"/>
        <v>0</v>
      </c>
      <c r="P48" s="36">
        <f t="shared" si="27"/>
        <v>0</v>
      </c>
      <c r="Q48" s="36">
        <v>0</v>
      </c>
      <c r="R48" s="43">
        <f t="shared" si="19"/>
        <v>0</v>
      </c>
      <c r="S48" s="36"/>
      <c r="T48" s="36"/>
      <c r="U48" s="146">
        <f>U8/B8*B48</f>
        <v>62457.436516558599</v>
      </c>
      <c r="V48" s="36">
        <f t="shared" si="20"/>
        <v>62.867086516558601</v>
      </c>
      <c r="W48" s="36">
        <f t="shared" si="21"/>
        <v>69.388499999999993</v>
      </c>
      <c r="X48" s="36">
        <f t="shared" si="22"/>
        <v>0</v>
      </c>
      <c r="Y48" s="43">
        <f t="shared" si="23"/>
        <v>92.518000000000001</v>
      </c>
      <c r="Z48" s="47"/>
      <c r="AA48" s="47"/>
    </row>
    <row r="49" spans="1:27" s="118" customFormat="1" ht="9.9499999999999993" customHeight="1" x14ac:dyDescent="0.15">
      <c r="A49" s="142" t="s">
        <v>62</v>
      </c>
      <c r="B49" s="125">
        <f>SUM(B50:B52)</f>
        <v>1.95</v>
      </c>
      <c r="C49" s="140">
        <f t="shared" si="14"/>
        <v>1393.855674715262</v>
      </c>
      <c r="D49" s="41">
        <f t="shared" si="24"/>
        <v>1393855.6747152619</v>
      </c>
      <c r="E49" s="33">
        <f>SUM(E50:E52)</f>
        <v>581909</v>
      </c>
      <c r="F49" s="41">
        <f t="shared" si="15"/>
        <v>1261.296</v>
      </c>
      <c r="G49" s="33">
        <f>I49/2</f>
        <v>369500</v>
      </c>
      <c r="H49" s="33">
        <f t="shared" si="25"/>
        <v>1261296</v>
      </c>
      <c r="I49" s="33">
        <v>739000</v>
      </c>
      <c r="J49" s="33">
        <f>J50+J51+J52</f>
        <v>0</v>
      </c>
      <c r="K49" s="41">
        <f t="shared" si="16"/>
        <v>1681.7280000000001</v>
      </c>
      <c r="L49" s="33">
        <f>SUM(L50:L52)</f>
        <v>1681728</v>
      </c>
      <c r="M49" s="41">
        <f t="shared" si="17"/>
        <v>-1965.18</v>
      </c>
      <c r="N49" s="33">
        <f>N50+N51</f>
        <v>1965180</v>
      </c>
      <c r="O49" s="41">
        <f t="shared" si="18"/>
        <v>-1013.25</v>
      </c>
      <c r="P49" s="33">
        <f>P50+P52+P51</f>
        <v>1013250</v>
      </c>
      <c r="Q49" s="33">
        <f>Q50+Q52+Q51</f>
        <v>0</v>
      </c>
      <c r="R49" s="41">
        <f t="shared" si="19"/>
        <v>-1351</v>
      </c>
      <c r="S49" s="33">
        <f>S50+S51</f>
        <v>1351000</v>
      </c>
      <c r="T49" s="33">
        <f>T50+T51</f>
        <v>1815541</v>
      </c>
      <c r="U49" s="143">
        <f>U8/B8*B49</f>
        <v>811946.67471526179</v>
      </c>
      <c r="V49" s="33">
        <f t="shared" si="20"/>
        <v>-571.32432528473805</v>
      </c>
      <c r="W49" s="33">
        <f t="shared" si="21"/>
        <v>248.04600000000005</v>
      </c>
      <c r="X49" s="33">
        <f t="shared" si="22"/>
        <v>0</v>
      </c>
      <c r="Y49" s="41">
        <f t="shared" si="23"/>
        <v>330.72800000000007</v>
      </c>
      <c r="Z49" s="47"/>
      <c r="AA49" s="47"/>
    </row>
    <row r="50" spans="1:27" s="117" customFormat="1" ht="9.9499999999999993" customHeight="1" x14ac:dyDescent="0.15">
      <c r="A50" s="144" t="s">
        <v>17</v>
      </c>
      <c r="B50" s="134">
        <v>0.95</v>
      </c>
      <c r="C50" s="145">
        <f t="shared" si="14"/>
        <v>440.47276460487114</v>
      </c>
      <c r="D50" s="43">
        <f t="shared" si="24"/>
        <v>440472.76460487116</v>
      </c>
      <c r="E50" s="36">
        <v>44909</v>
      </c>
      <c r="F50" s="43">
        <f t="shared" si="15"/>
        <v>432.20850000000002</v>
      </c>
      <c r="G50" s="36">
        <f>I50/2</f>
        <v>58500</v>
      </c>
      <c r="H50" s="36">
        <f t="shared" si="25"/>
        <v>432208.5</v>
      </c>
      <c r="I50" s="36">
        <v>117000</v>
      </c>
      <c r="J50" s="36"/>
      <c r="K50" s="43">
        <f t="shared" si="16"/>
        <v>576.27800000000002</v>
      </c>
      <c r="L50" s="36">
        <v>576278</v>
      </c>
      <c r="M50" s="43">
        <f t="shared" si="17"/>
        <v>-136.18700000000001</v>
      </c>
      <c r="N50" s="36">
        <f>26187+110000</f>
        <v>136187</v>
      </c>
      <c r="O50" s="43">
        <f t="shared" si="18"/>
        <v>-183.75</v>
      </c>
      <c r="P50" s="36">
        <f>S50*0.75</f>
        <v>183750</v>
      </c>
      <c r="Q50" s="36"/>
      <c r="R50" s="43">
        <f t="shared" si="19"/>
        <v>-245</v>
      </c>
      <c r="S50" s="36">
        <v>245000</v>
      </c>
      <c r="T50" s="36">
        <v>110000</v>
      </c>
      <c r="U50" s="146">
        <f>U8/B8*B50</f>
        <v>395563.76460487116</v>
      </c>
      <c r="V50" s="36">
        <f t="shared" si="20"/>
        <v>304.28576460487113</v>
      </c>
      <c r="W50" s="36">
        <f t="shared" si="21"/>
        <v>248.45850000000002</v>
      </c>
      <c r="X50" s="36">
        <f t="shared" si="22"/>
        <v>0</v>
      </c>
      <c r="Y50" s="43">
        <f t="shared" si="23"/>
        <v>331.27800000000002</v>
      </c>
      <c r="Z50" s="47"/>
      <c r="AA50" s="47"/>
    </row>
    <row r="51" spans="1:27" s="117" customFormat="1" ht="9.9499999999999993" customHeight="1" x14ac:dyDescent="0.15">
      <c r="A51" s="144" t="s">
        <v>18</v>
      </c>
      <c r="B51" s="134">
        <v>1</v>
      </c>
      <c r="C51" s="145">
        <f t="shared" si="14"/>
        <v>942.8809101103908</v>
      </c>
      <c r="D51" s="43">
        <f t="shared" si="24"/>
        <v>942880.91011039075</v>
      </c>
      <c r="E51" s="36">
        <v>526498</v>
      </c>
      <c r="F51" s="43">
        <f t="shared" si="15"/>
        <v>829.08749999999998</v>
      </c>
      <c r="G51" s="36">
        <f>I51/2</f>
        <v>311000</v>
      </c>
      <c r="H51" s="36">
        <f t="shared" si="25"/>
        <v>829087.5</v>
      </c>
      <c r="I51" s="36">
        <v>622000</v>
      </c>
      <c r="J51" s="36"/>
      <c r="K51" s="43">
        <f t="shared" si="16"/>
        <v>1105.45</v>
      </c>
      <c r="L51" s="36">
        <v>1105450</v>
      </c>
      <c r="M51" s="43">
        <f t="shared" si="17"/>
        <v>-1828.9929999999999</v>
      </c>
      <c r="N51" s="36">
        <f>1705541+123452</f>
        <v>1828993</v>
      </c>
      <c r="O51" s="43">
        <f t="shared" si="18"/>
        <v>-829.5</v>
      </c>
      <c r="P51" s="36">
        <f>S51*0.75</f>
        <v>829500</v>
      </c>
      <c r="Q51" s="36"/>
      <c r="R51" s="43">
        <f t="shared" si="19"/>
        <v>-1106</v>
      </c>
      <c r="S51" s="36">
        <v>1106000</v>
      </c>
      <c r="T51" s="36">
        <v>1705541</v>
      </c>
      <c r="U51" s="146">
        <f>U8/B8*B51</f>
        <v>416382.91011039069</v>
      </c>
      <c r="V51" s="36">
        <f t="shared" si="20"/>
        <v>-886.11208988960914</v>
      </c>
      <c r="W51" s="36">
        <f t="shared" si="21"/>
        <v>-0.41250000000002274</v>
      </c>
      <c r="X51" s="36">
        <f t="shared" si="22"/>
        <v>0</v>
      </c>
      <c r="Y51" s="43">
        <f t="shared" si="23"/>
        <v>-0.54999999999995453</v>
      </c>
      <c r="Z51" s="47"/>
      <c r="AA51" s="47"/>
    </row>
    <row r="52" spans="1:27" s="117" customFormat="1" ht="9.9499999999999993" customHeight="1" x14ac:dyDescent="0.15">
      <c r="A52" s="144" t="s">
        <v>108</v>
      </c>
      <c r="B52" s="134">
        <v>0</v>
      </c>
      <c r="C52" s="145">
        <f t="shared" ref="C52:C70" si="28">D52/1000</f>
        <v>10.502000000000001</v>
      </c>
      <c r="D52" s="43">
        <f t="shared" si="24"/>
        <v>10502</v>
      </c>
      <c r="E52" s="36">
        <v>10502</v>
      </c>
      <c r="F52" s="43">
        <f t="shared" ref="F52:F70" si="29">H52/1000</f>
        <v>0</v>
      </c>
      <c r="G52" s="36"/>
      <c r="H52" s="36">
        <f t="shared" si="25"/>
        <v>0</v>
      </c>
      <c r="I52" s="36">
        <v>0</v>
      </c>
      <c r="J52" s="36"/>
      <c r="K52" s="43">
        <f t="shared" ref="K52:K70" si="30">L52/1000</f>
        <v>0</v>
      </c>
      <c r="L52" s="36"/>
      <c r="M52" s="43">
        <f t="shared" ref="M52:M70" si="31">N52/1000*-1</f>
        <v>0</v>
      </c>
      <c r="N52" s="36"/>
      <c r="O52" s="43">
        <f t="shared" ref="O52:O70" si="32">P52/1000*-1</f>
        <v>0</v>
      </c>
      <c r="P52" s="36">
        <f>S52*0.75</f>
        <v>0</v>
      </c>
      <c r="Q52" s="36">
        <v>0</v>
      </c>
      <c r="R52" s="43">
        <f t="shared" ref="R52:R70" si="33">S52/1000*-1</f>
        <v>0</v>
      </c>
      <c r="S52" s="36"/>
      <c r="T52" s="36"/>
      <c r="U52" s="146"/>
      <c r="V52" s="36">
        <f t="shared" ref="V52:V70" si="34">C52+M52</f>
        <v>10.502000000000001</v>
      </c>
      <c r="W52" s="36">
        <f t="shared" ref="W52:W70" si="35">F52+O52</f>
        <v>0</v>
      </c>
      <c r="X52" s="36">
        <f t="shared" ref="X52:X70" si="36">J52+Q52</f>
        <v>0</v>
      </c>
      <c r="Y52" s="43">
        <f t="shared" ref="Y52:Y70" si="37">K52+R52</f>
        <v>0</v>
      </c>
      <c r="Z52" s="47"/>
      <c r="AA52" s="47"/>
    </row>
    <row r="53" spans="1:27" s="118" customFormat="1" ht="9.9499999999999993" customHeight="1" x14ac:dyDescent="0.15">
      <c r="A53" s="142" t="s">
        <v>63</v>
      </c>
      <c r="B53" s="125">
        <f>SUM(B54:B66)</f>
        <v>3.6500000000000008</v>
      </c>
      <c r="C53" s="140">
        <f t="shared" si="28"/>
        <v>3456.7773719029265</v>
      </c>
      <c r="D53" s="41">
        <f t="shared" ref="D53:D70" si="38">E53+U53</f>
        <v>3456777.3719029264</v>
      </c>
      <c r="E53" s="33">
        <f>SUM(E54:E66)</f>
        <v>1936979.75</v>
      </c>
      <c r="F53" s="41">
        <f t="shared" si="29"/>
        <v>4023.44625</v>
      </c>
      <c r="G53" s="33">
        <f>I53/2</f>
        <v>1800000</v>
      </c>
      <c r="H53" s="33">
        <f>H54+H55+H56+H57+H58+H59+H60+H61+H62+H63+H64+H66+H65</f>
        <v>4023446.25</v>
      </c>
      <c r="I53" s="33">
        <v>3600000</v>
      </c>
      <c r="J53" s="33">
        <f>J54+J55+J56+J57+J59+J58+J60+J61+J62+J63+J64+J65+J66</f>
        <v>0</v>
      </c>
      <c r="K53" s="41">
        <f t="shared" si="30"/>
        <v>5364.5950000000003</v>
      </c>
      <c r="L53" s="33">
        <f>SUM(L54:L66)</f>
        <v>5364595</v>
      </c>
      <c r="M53" s="41">
        <f t="shared" si="31"/>
        <v>-952.827</v>
      </c>
      <c r="N53" s="33">
        <f>SUM(N54:N66)</f>
        <v>952827</v>
      </c>
      <c r="O53" s="41">
        <f t="shared" si="32"/>
        <v>-2662.5</v>
      </c>
      <c r="P53" s="33">
        <f>SUM(P54:P66)</f>
        <v>2662500</v>
      </c>
      <c r="Q53" s="33">
        <f>Q54+Q55+Q56+Q57+Q58+Q59+Q60+Q61+Q62+Q63+Q65+Q64+Q66</f>
        <v>0</v>
      </c>
      <c r="R53" s="41">
        <f t="shared" si="33"/>
        <v>-3550</v>
      </c>
      <c r="S53" s="33">
        <f>SUM(S54:S66)</f>
        <v>3550000</v>
      </c>
      <c r="T53" s="33">
        <f>T57+T56+T62</f>
        <v>670279</v>
      </c>
      <c r="U53" s="143">
        <f>U8/B8*B53</f>
        <v>1519797.6219029264</v>
      </c>
      <c r="V53" s="33">
        <f t="shared" si="34"/>
        <v>2503.9503719029262</v>
      </c>
      <c r="W53" s="33">
        <f t="shared" si="35"/>
        <v>1360.94625</v>
      </c>
      <c r="X53" s="33">
        <f t="shared" si="36"/>
        <v>0</v>
      </c>
      <c r="Y53" s="41">
        <f t="shared" si="37"/>
        <v>1814.5950000000003</v>
      </c>
      <c r="Z53" s="47"/>
      <c r="AA53" s="47"/>
    </row>
    <row r="54" spans="1:27" s="117" customFormat="1" ht="9.9499999999999993" customHeight="1" x14ac:dyDescent="0.15">
      <c r="A54" s="144" t="s">
        <v>19</v>
      </c>
      <c r="B54" s="134">
        <v>1.61</v>
      </c>
      <c r="C54" s="145">
        <f t="shared" si="28"/>
        <v>731.26348527772905</v>
      </c>
      <c r="D54" s="43">
        <f t="shared" si="38"/>
        <v>731263.48527772899</v>
      </c>
      <c r="E54" s="36">
        <v>60887</v>
      </c>
      <c r="F54" s="43">
        <f t="shared" si="29"/>
        <v>761.51625000000001</v>
      </c>
      <c r="G54" s="36"/>
      <c r="H54" s="36">
        <f t="shared" ref="H54:H66" si="39">L54*0.75</f>
        <v>761516.25</v>
      </c>
      <c r="I54" s="36">
        <v>233000</v>
      </c>
      <c r="J54" s="36"/>
      <c r="K54" s="43">
        <f t="shared" si="30"/>
        <v>1015.355</v>
      </c>
      <c r="L54" s="36">
        <v>1015355</v>
      </c>
      <c r="M54" s="43">
        <f t="shared" si="31"/>
        <v>0</v>
      </c>
      <c r="N54" s="36"/>
      <c r="O54" s="43">
        <f t="shared" si="32"/>
        <v>-187.5</v>
      </c>
      <c r="P54" s="36">
        <f t="shared" ref="P54:P70" si="40">S54*0.75</f>
        <v>187500</v>
      </c>
      <c r="Q54" s="36">
        <v>0</v>
      </c>
      <c r="R54" s="43">
        <f t="shared" si="33"/>
        <v>-250</v>
      </c>
      <c r="S54" s="36">
        <v>250000</v>
      </c>
      <c r="T54" s="36"/>
      <c r="U54" s="146">
        <f>U8/B8*B54</f>
        <v>670376.48527772899</v>
      </c>
      <c r="V54" s="36">
        <f t="shared" si="34"/>
        <v>731.26348527772905</v>
      </c>
      <c r="W54" s="36">
        <f t="shared" si="35"/>
        <v>574.01625000000001</v>
      </c>
      <c r="X54" s="36">
        <f t="shared" si="36"/>
        <v>0</v>
      </c>
      <c r="Y54" s="43">
        <f t="shared" si="37"/>
        <v>765.35500000000002</v>
      </c>
      <c r="Z54" s="47"/>
      <c r="AA54" s="47"/>
    </row>
    <row r="55" spans="1:27" s="117" customFormat="1" ht="9.9499999999999993" customHeight="1" x14ac:dyDescent="0.15">
      <c r="A55" s="144" t="s">
        <v>107</v>
      </c>
      <c r="B55" s="134">
        <v>0</v>
      </c>
      <c r="C55" s="145">
        <f t="shared" si="28"/>
        <v>26.571000000000002</v>
      </c>
      <c r="D55" s="43">
        <f t="shared" si="38"/>
        <v>26571</v>
      </c>
      <c r="E55" s="36">
        <v>26571</v>
      </c>
      <c r="F55" s="43">
        <f t="shared" si="29"/>
        <v>0</v>
      </c>
      <c r="G55" s="36"/>
      <c r="H55" s="36">
        <f t="shared" si="39"/>
        <v>0</v>
      </c>
      <c r="I55" s="36">
        <v>0</v>
      </c>
      <c r="J55" s="36"/>
      <c r="K55" s="43">
        <f t="shared" si="30"/>
        <v>0</v>
      </c>
      <c r="L55" s="36"/>
      <c r="M55" s="43">
        <f t="shared" si="31"/>
        <v>0</v>
      </c>
      <c r="N55" s="36"/>
      <c r="O55" s="43">
        <f t="shared" si="32"/>
        <v>0</v>
      </c>
      <c r="P55" s="36">
        <f t="shared" si="40"/>
        <v>0</v>
      </c>
      <c r="Q55" s="36">
        <v>0</v>
      </c>
      <c r="R55" s="43">
        <f t="shared" si="33"/>
        <v>0</v>
      </c>
      <c r="S55" s="36"/>
      <c r="T55" s="36"/>
      <c r="U55" s="146">
        <f>U8/B8*B55</f>
        <v>0</v>
      </c>
      <c r="V55" s="36">
        <f t="shared" si="34"/>
        <v>26.571000000000002</v>
      </c>
      <c r="W55" s="36">
        <f t="shared" si="35"/>
        <v>0</v>
      </c>
      <c r="X55" s="36">
        <f t="shared" si="36"/>
        <v>0</v>
      </c>
      <c r="Y55" s="43">
        <f t="shared" si="37"/>
        <v>0</v>
      </c>
      <c r="Z55" s="47"/>
      <c r="AA55" s="47"/>
    </row>
    <row r="56" spans="1:27" s="117" customFormat="1" ht="9.9499999999999993" customHeight="1" x14ac:dyDescent="0.15">
      <c r="A56" s="144" t="s">
        <v>20</v>
      </c>
      <c r="B56" s="134">
        <v>0.4</v>
      </c>
      <c r="C56" s="145">
        <f t="shared" si="28"/>
        <v>267.27016404415633</v>
      </c>
      <c r="D56" s="43">
        <f t="shared" si="38"/>
        <v>267270.16404415632</v>
      </c>
      <c r="E56" s="36">
        <v>100717</v>
      </c>
      <c r="F56" s="43">
        <f t="shared" si="29"/>
        <v>520.03499999999997</v>
      </c>
      <c r="G56" s="36"/>
      <c r="H56" s="36">
        <f t="shared" si="39"/>
        <v>520035</v>
      </c>
      <c r="I56" s="36">
        <v>500000</v>
      </c>
      <c r="J56" s="36"/>
      <c r="K56" s="43">
        <f t="shared" si="30"/>
        <v>693.38</v>
      </c>
      <c r="L56" s="36">
        <v>693380</v>
      </c>
      <c r="M56" s="43">
        <f t="shared" si="31"/>
        <v>-249.328</v>
      </c>
      <c r="N56" s="36">
        <f>225000+24328</f>
        <v>249328</v>
      </c>
      <c r="O56" s="43">
        <f t="shared" si="32"/>
        <v>-375</v>
      </c>
      <c r="P56" s="36">
        <f t="shared" si="40"/>
        <v>375000</v>
      </c>
      <c r="Q56" s="36"/>
      <c r="R56" s="43">
        <f t="shared" si="33"/>
        <v>-500</v>
      </c>
      <c r="S56" s="36">
        <v>500000</v>
      </c>
      <c r="T56" s="36">
        <f>225000+24328+123452</f>
        <v>372780</v>
      </c>
      <c r="U56" s="146">
        <f>U8/B8*B56</f>
        <v>166553.16404415629</v>
      </c>
      <c r="V56" s="36">
        <f t="shared" si="34"/>
        <v>17.942164044156328</v>
      </c>
      <c r="W56" s="36">
        <f t="shared" si="35"/>
        <v>145.03499999999997</v>
      </c>
      <c r="X56" s="36">
        <f t="shared" si="36"/>
        <v>0</v>
      </c>
      <c r="Y56" s="43">
        <f t="shared" si="37"/>
        <v>193.38</v>
      </c>
      <c r="Z56" s="47"/>
      <c r="AA56" s="47"/>
    </row>
    <row r="57" spans="1:27" s="117" customFormat="1" ht="9.9499999999999993" customHeight="1" x14ac:dyDescent="0.15">
      <c r="A57" s="144" t="s">
        <v>21</v>
      </c>
      <c r="B57" s="134">
        <v>0.35</v>
      </c>
      <c r="C57" s="145">
        <f t="shared" si="28"/>
        <v>935.31901853863678</v>
      </c>
      <c r="D57" s="43">
        <f t="shared" si="38"/>
        <v>935319.01853863674</v>
      </c>
      <c r="E57" s="36">
        <v>789585</v>
      </c>
      <c r="F57" s="43">
        <f t="shared" si="29"/>
        <v>1473.1559999999999</v>
      </c>
      <c r="G57" s="36"/>
      <c r="H57" s="36">
        <f t="shared" si="39"/>
        <v>1473156</v>
      </c>
      <c r="I57" s="36">
        <v>1795000</v>
      </c>
      <c r="J57" s="36"/>
      <c r="K57" s="43">
        <f t="shared" si="30"/>
        <v>1964.2080000000001</v>
      </c>
      <c r="L57" s="36">
        <v>1964208</v>
      </c>
      <c r="M57" s="43">
        <f t="shared" si="31"/>
        <v>-72.498999999999995</v>
      </c>
      <c r="N57" s="36">
        <f>74205-361-1345</f>
        <v>72499</v>
      </c>
      <c r="O57" s="43">
        <f t="shared" si="32"/>
        <v>-1500</v>
      </c>
      <c r="P57" s="36">
        <f t="shared" si="40"/>
        <v>1500000</v>
      </c>
      <c r="Q57" s="36"/>
      <c r="R57" s="43">
        <f t="shared" si="33"/>
        <v>-2000</v>
      </c>
      <c r="S57" s="36">
        <v>2000000</v>
      </c>
      <c r="T57" s="36">
        <f>74205-361-1345</f>
        <v>72499</v>
      </c>
      <c r="U57" s="146">
        <f>U8/B8*B57</f>
        <v>145734.01853863674</v>
      </c>
      <c r="V57" s="36">
        <f t="shared" si="34"/>
        <v>862.82001853863676</v>
      </c>
      <c r="W57" s="36">
        <f t="shared" si="35"/>
        <v>-26.844000000000051</v>
      </c>
      <c r="X57" s="36">
        <f t="shared" si="36"/>
        <v>0</v>
      </c>
      <c r="Y57" s="43">
        <f t="shared" si="37"/>
        <v>-35.791999999999916</v>
      </c>
      <c r="Z57" s="47"/>
      <c r="AA57" s="47"/>
    </row>
    <row r="58" spans="1:27" s="117" customFormat="1" ht="9.9499999999999993" customHeight="1" x14ac:dyDescent="0.15">
      <c r="A58" s="144" t="s">
        <v>117</v>
      </c>
      <c r="B58" s="134"/>
      <c r="C58" s="145">
        <f t="shared" si="28"/>
        <v>274.89800000000002</v>
      </c>
      <c r="D58" s="43">
        <f t="shared" si="38"/>
        <v>274898</v>
      </c>
      <c r="E58" s="36">
        <v>274898</v>
      </c>
      <c r="F58" s="43">
        <f t="shared" si="29"/>
        <v>0</v>
      </c>
      <c r="G58" s="36"/>
      <c r="H58" s="36">
        <f t="shared" si="39"/>
        <v>0</v>
      </c>
      <c r="I58" s="36"/>
      <c r="J58" s="36"/>
      <c r="K58" s="43">
        <f t="shared" si="30"/>
        <v>0</v>
      </c>
      <c r="L58" s="36"/>
      <c r="M58" s="43">
        <f t="shared" si="31"/>
        <v>0</v>
      </c>
      <c r="N58" s="36"/>
      <c r="O58" s="43">
        <f t="shared" si="32"/>
        <v>-375</v>
      </c>
      <c r="P58" s="36">
        <f t="shared" si="40"/>
        <v>375000</v>
      </c>
      <c r="Q58" s="36">
        <v>0</v>
      </c>
      <c r="R58" s="43">
        <f t="shared" si="33"/>
        <v>-500</v>
      </c>
      <c r="S58" s="36">
        <v>500000</v>
      </c>
      <c r="T58" s="36"/>
      <c r="U58" s="146"/>
      <c r="V58" s="36">
        <f t="shared" si="34"/>
        <v>274.89800000000002</v>
      </c>
      <c r="W58" s="36">
        <f t="shared" si="35"/>
        <v>-375</v>
      </c>
      <c r="X58" s="36">
        <f t="shared" si="36"/>
        <v>0</v>
      </c>
      <c r="Y58" s="43">
        <f t="shared" si="37"/>
        <v>-500</v>
      </c>
      <c r="Z58" s="47"/>
      <c r="AA58" s="47"/>
    </row>
    <row r="59" spans="1:27" s="117" customFormat="1" ht="9.9499999999999993" customHeight="1" x14ac:dyDescent="0.15">
      <c r="A59" s="144" t="s">
        <v>106</v>
      </c>
      <c r="B59" s="134"/>
      <c r="C59" s="145">
        <f t="shared" si="28"/>
        <v>7.8040000000000003</v>
      </c>
      <c r="D59" s="43">
        <f t="shared" si="38"/>
        <v>7804</v>
      </c>
      <c r="E59" s="36">
        <v>7804</v>
      </c>
      <c r="F59" s="43">
        <f t="shared" si="29"/>
        <v>0</v>
      </c>
      <c r="G59" s="36"/>
      <c r="H59" s="36">
        <f t="shared" si="39"/>
        <v>0</v>
      </c>
      <c r="I59" s="36"/>
      <c r="J59" s="36"/>
      <c r="K59" s="43">
        <f t="shared" si="30"/>
        <v>0</v>
      </c>
      <c r="L59" s="36"/>
      <c r="M59" s="43">
        <f t="shared" si="31"/>
        <v>0</v>
      </c>
      <c r="N59" s="36"/>
      <c r="O59" s="43">
        <f t="shared" si="32"/>
        <v>0</v>
      </c>
      <c r="P59" s="36">
        <f t="shared" si="40"/>
        <v>0</v>
      </c>
      <c r="Q59" s="36">
        <v>0</v>
      </c>
      <c r="R59" s="43">
        <f t="shared" si="33"/>
        <v>0</v>
      </c>
      <c r="S59" s="36"/>
      <c r="T59" s="36"/>
      <c r="U59" s="146"/>
      <c r="V59" s="36">
        <f t="shared" si="34"/>
        <v>7.8040000000000003</v>
      </c>
      <c r="W59" s="36">
        <f t="shared" si="35"/>
        <v>0</v>
      </c>
      <c r="X59" s="36">
        <f t="shared" si="36"/>
        <v>0</v>
      </c>
      <c r="Y59" s="43">
        <f t="shared" si="37"/>
        <v>0</v>
      </c>
      <c r="Z59" s="47"/>
      <c r="AA59" s="47"/>
    </row>
    <row r="60" spans="1:27" s="117" customFormat="1" ht="9.9499999999999993" customHeight="1" x14ac:dyDescent="0.15">
      <c r="A60" s="144" t="s">
        <v>105</v>
      </c>
      <c r="B60" s="134"/>
      <c r="C60" s="145">
        <f t="shared" si="28"/>
        <v>50</v>
      </c>
      <c r="D60" s="43">
        <f t="shared" si="38"/>
        <v>50000</v>
      </c>
      <c r="E60" s="36">
        <v>50000</v>
      </c>
      <c r="F60" s="43">
        <f t="shared" si="29"/>
        <v>0</v>
      </c>
      <c r="G60" s="36"/>
      <c r="H60" s="36">
        <f t="shared" si="39"/>
        <v>0</v>
      </c>
      <c r="I60" s="36"/>
      <c r="J60" s="36"/>
      <c r="K60" s="43">
        <f t="shared" si="30"/>
        <v>0</v>
      </c>
      <c r="L60" s="36"/>
      <c r="M60" s="43">
        <f t="shared" si="31"/>
        <v>0</v>
      </c>
      <c r="N60" s="36"/>
      <c r="O60" s="43">
        <f t="shared" si="32"/>
        <v>0</v>
      </c>
      <c r="P60" s="36">
        <f t="shared" si="40"/>
        <v>0</v>
      </c>
      <c r="Q60" s="36">
        <v>0</v>
      </c>
      <c r="R60" s="43">
        <f t="shared" si="33"/>
        <v>0</v>
      </c>
      <c r="S60" s="36"/>
      <c r="T60" s="36"/>
      <c r="U60" s="146"/>
      <c r="V60" s="36">
        <f t="shared" si="34"/>
        <v>50</v>
      </c>
      <c r="W60" s="36">
        <f t="shared" si="35"/>
        <v>0</v>
      </c>
      <c r="X60" s="36">
        <f t="shared" si="36"/>
        <v>0</v>
      </c>
      <c r="Y60" s="43">
        <f t="shared" si="37"/>
        <v>0</v>
      </c>
      <c r="Z60" s="47"/>
      <c r="AA60" s="47"/>
    </row>
    <row r="61" spans="1:27" s="117" customFormat="1" ht="9.9499999999999993" customHeight="1" x14ac:dyDescent="0.15">
      <c r="A61" s="144" t="s">
        <v>103</v>
      </c>
      <c r="B61" s="134">
        <v>0.45</v>
      </c>
      <c r="C61" s="145">
        <f t="shared" si="28"/>
        <v>436.6143095496758</v>
      </c>
      <c r="D61" s="43">
        <f t="shared" si="38"/>
        <v>436614.30954967579</v>
      </c>
      <c r="E61" s="36">
        <v>249242</v>
      </c>
      <c r="F61" s="43">
        <f t="shared" si="29"/>
        <v>619.16475000000003</v>
      </c>
      <c r="G61" s="36"/>
      <c r="H61" s="36">
        <f t="shared" si="39"/>
        <v>619164.75</v>
      </c>
      <c r="I61" s="36">
        <v>608000</v>
      </c>
      <c r="J61" s="36"/>
      <c r="K61" s="43">
        <f t="shared" si="30"/>
        <v>825.553</v>
      </c>
      <c r="L61" s="36">
        <v>825553</v>
      </c>
      <c r="M61" s="43">
        <f t="shared" si="31"/>
        <v>-250</v>
      </c>
      <c r="N61" s="36">
        <v>250000</v>
      </c>
      <c r="O61" s="43">
        <f t="shared" si="32"/>
        <v>0</v>
      </c>
      <c r="P61" s="36">
        <f t="shared" si="40"/>
        <v>0</v>
      </c>
      <c r="Q61" s="36"/>
      <c r="R61" s="43">
        <f t="shared" si="33"/>
        <v>0</v>
      </c>
      <c r="S61" s="36"/>
      <c r="T61" s="36">
        <v>250000</v>
      </c>
      <c r="U61" s="146">
        <f>U8/B8*B61</f>
        <v>187372.30954967582</v>
      </c>
      <c r="V61" s="36">
        <f t="shared" si="34"/>
        <v>186.6143095496758</v>
      </c>
      <c r="W61" s="36">
        <f t="shared" si="35"/>
        <v>619.16475000000003</v>
      </c>
      <c r="X61" s="36">
        <f t="shared" si="36"/>
        <v>0</v>
      </c>
      <c r="Y61" s="43">
        <f t="shared" si="37"/>
        <v>825.553</v>
      </c>
      <c r="Z61" s="47"/>
      <c r="AA61" s="47"/>
    </row>
    <row r="62" spans="1:27" s="117" customFormat="1" ht="9.9499999999999993" customHeight="1" x14ac:dyDescent="0.15">
      <c r="A62" s="144" t="s">
        <v>104</v>
      </c>
      <c r="B62" s="134"/>
      <c r="C62" s="145">
        <f t="shared" si="28"/>
        <v>201.489</v>
      </c>
      <c r="D62" s="43">
        <f t="shared" si="38"/>
        <v>201489</v>
      </c>
      <c r="E62" s="36">
        <v>201489</v>
      </c>
      <c r="F62" s="43">
        <f t="shared" si="29"/>
        <v>0</v>
      </c>
      <c r="G62" s="36" t="s">
        <v>33</v>
      </c>
      <c r="H62" s="36">
        <f t="shared" si="39"/>
        <v>0</v>
      </c>
      <c r="I62" s="36">
        <v>0</v>
      </c>
      <c r="J62" s="36"/>
      <c r="K62" s="43">
        <f t="shared" si="30"/>
        <v>0</v>
      </c>
      <c r="L62" s="36"/>
      <c r="M62" s="43">
        <f t="shared" si="31"/>
        <v>-225</v>
      </c>
      <c r="N62" s="36">
        <v>225000</v>
      </c>
      <c r="O62" s="43">
        <f t="shared" si="32"/>
        <v>0</v>
      </c>
      <c r="P62" s="36">
        <f t="shared" si="40"/>
        <v>0</v>
      </c>
      <c r="Q62" s="36">
        <v>0</v>
      </c>
      <c r="R62" s="43">
        <f t="shared" si="33"/>
        <v>0</v>
      </c>
      <c r="S62" s="36"/>
      <c r="T62" s="36">
        <v>225000</v>
      </c>
      <c r="U62" s="146"/>
      <c r="V62" s="36">
        <f t="shared" si="34"/>
        <v>-23.510999999999996</v>
      </c>
      <c r="W62" s="36">
        <f t="shared" si="35"/>
        <v>0</v>
      </c>
      <c r="X62" s="36">
        <f t="shared" si="36"/>
        <v>0</v>
      </c>
      <c r="Y62" s="43">
        <f t="shared" si="37"/>
        <v>0</v>
      </c>
      <c r="Z62" s="47"/>
      <c r="AA62" s="47"/>
    </row>
    <row r="63" spans="1:27" s="117" customFormat="1" ht="9.9499999999999993" customHeight="1" x14ac:dyDescent="0.15">
      <c r="A63" s="144" t="s">
        <v>118</v>
      </c>
      <c r="B63" s="134">
        <v>0.39</v>
      </c>
      <c r="C63" s="145">
        <f t="shared" si="28"/>
        <v>176.73333494305237</v>
      </c>
      <c r="D63" s="43">
        <f t="shared" si="38"/>
        <v>176733.33494305238</v>
      </c>
      <c r="E63" s="36">
        <v>14344</v>
      </c>
      <c r="F63" s="43">
        <f t="shared" si="29"/>
        <v>141.40950000000001</v>
      </c>
      <c r="G63" s="36"/>
      <c r="H63" s="36">
        <f t="shared" si="39"/>
        <v>141409.5</v>
      </c>
      <c r="I63" s="36">
        <v>0</v>
      </c>
      <c r="J63" s="36"/>
      <c r="K63" s="43">
        <f t="shared" si="30"/>
        <v>188.54599999999999</v>
      </c>
      <c r="L63" s="36">
        <v>188546</v>
      </c>
      <c r="M63" s="43">
        <f t="shared" si="31"/>
        <v>0</v>
      </c>
      <c r="N63" s="36"/>
      <c r="O63" s="43">
        <f t="shared" si="32"/>
        <v>0</v>
      </c>
      <c r="P63" s="36">
        <f t="shared" si="40"/>
        <v>0</v>
      </c>
      <c r="Q63" s="36">
        <v>0</v>
      </c>
      <c r="R63" s="43">
        <f t="shared" si="33"/>
        <v>0</v>
      </c>
      <c r="S63" s="36"/>
      <c r="T63" s="36"/>
      <c r="U63" s="146">
        <f>U8/B8*B63</f>
        <v>162389.33494305238</v>
      </c>
      <c r="V63" s="36">
        <f t="shared" si="34"/>
        <v>176.73333494305237</v>
      </c>
      <c r="W63" s="36">
        <f t="shared" si="35"/>
        <v>141.40950000000001</v>
      </c>
      <c r="X63" s="36">
        <f t="shared" si="36"/>
        <v>0</v>
      </c>
      <c r="Y63" s="43">
        <f t="shared" si="37"/>
        <v>188.54599999999999</v>
      </c>
      <c r="Z63" s="47"/>
      <c r="AA63" s="47"/>
    </row>
    <row r="64" spans="1:27" s="117" customFormat="1" ht="9.9499999999999993" customHeight="1" x14ac:dyDescent="0.15">
      <c r="A64" s="144" t="s">
        <v>110</v>
      </c>
      <c r="B64" s="134">
        <v>0</v>
      </c>
      <c r="C64" s="145">
        <f t="shared" si="28"/>
        <v>60</v>
      </c>
      <c r="D64" s="43">
        <f t="shared" si="38"/>
        <v>60000</v>
      </c>
      <c r="E64" s="36">
        <v>60000</v>
      </c>
      <c r="F64" s="43">
        <f t="shared" si="29"/>
        <v>37.5</v>
      </c>
      <c r="G64" s="36"/>
      <c r="H64" s="36">
        <f t="shared" si="39"/>
        <v>37500</v>
      </c>
      <c r="I64" s="36">
        <v>50000</v>
      </c>
      <c r="J64" s="36"/>
      <c r="K64" s="43">
        <f t="shared" si="30"/>
        <v>50</v>
      </c>
      <c r="L64" s="36">
        <v>50000</v>
      </c>
      <c r="M64" s="43">
        <f t="shared" si="31"/>
        <v>0</v>
      </c>
      <c r="N64" s="36"/>
      <c r="O64" s="43">
        <f t="shared" si="32"/>
        <v>0</v>
      </c>
      <c r="P64" s="36">
        <f t="shared" si="40"/>
        <v>0</v>
      </c>
      <c r="Q64" s="36">
        <v>0</v>
      </c>
      <c r="R64" s="43">
        <f t="shared" si="33"/>
        <v>0</v>
      </c>
      <c r="S64" s="36"/>
      <c r="T64" s="36"/>
      <c r="U64" s="146"/>
      <c r="V64" s="36">
        <f t="shared" si="34"/>
        <v>60</v>
      </c>
      <c r="W64" s="36">
        <f t="shared" si="35"/>
        <v>37.5</v>
      </c>
      <c r="X64" s="36">
        <f t="shared" si="36"/>
        <v>0</v>
      </c>
      <c r="Y64" s="43">
        <f t="shared" si="37"/>
        <v>50</v>
      </c>
      <c r="Z64" s="47"/>
      <c r="AA64" s="47"/>
    </row>
    <row r="65" spans="1:27" s="117" customFormat="1" ht="9.9499999999999993" customHeight="1" x14ac:dyDescent="0.15">
      <c r="A65" s="144" t="s">
        <v>93</v>
      </c>
      <c r="B65" s="134">
        <v>0.35</v>
      </c>
      <c r="C65" s="145">
        <f t="shared" si="28"/>
        <v>246.31501853863674</v>
      </c>
      <c r="D65" s="43">
        <f t="shared" si="38"/>
        <v>246315.01853863674</v>
      </c>
      <c r="E65" s="36">
        <v>100581</v>
      </c>
      <c r="F65" s="43">
        <f t="shared" si="29"/>
        <v>434.40600000000001</v>
      </c>
      <c r="G65" s="36"/>
      <c r="H65" s="36">
        <f t="shared" si="39"/>
        <v>434406</v>
      </c>
      <c r="I65" s="36">
        <v>410000</v>
      </c>
      <c r="J65" s="36"/>
      <c r="K65" s="43">
        <f t="shared" si="30"/>
        <v>579.20799999999997</v>
      </c>
      <c r="L65" s="36">
        <v>579208</v>
      </c>
      <c r="M65" s="43">
        <f t="shared" si="31"/>
        <v>-156</v>
      </c>
      <c r="N65" s="36">
        <v>156000</v>
      </c>
      <c r="O65" s="43">
        <f t="shared" si="32"/>
        <v>-225</v>
      </c>
      <c r="P65" s="36">
        <f t="shared" si="40"/>
        <v>225000</v>
      </c>
      <c r="Q65" s="36"/>
      <c r="R65" s="43">
        <f t="shared" si="33"/>
        <v>-300</v>
      </c>
      <c r="S65" s="36">
        <v>300000</v>
      </c>
      <c r="T65" s="36">
        <v>156000</v>
      </c>
      <c r="U65" s="146">
        <f>U8/B8*B65</f>
        <v>145734.01853863674</v>
      </c>
      <c r="V65" s="36">
        <f t="shared" si="34"/>
        <v>90.315018538636735</v>
      </c>
      <c r="W65" s="36">
        <f t="shared" si="35"/>
        <v>209.40600000000001</v>
      </c>
      <c r="X65" s="36">
        <f t="shared" si="36"/>
        <v>0</v>
      </c>
      <c r="Y65" s="43">
        <f t="shared" si="37"/>
        <v>279.20799999999997</v>
      </c>
      <c r="Z65" s="47"/>
      <c r="AA65" s="47"/>
    </row>
    <row r="66" spans="1:27" s="117" customFormat="1" ht="9.9499999999999993" customHeight="1" x14ac:dyDescent="0.15">
      <c r="A66" s="144" t="s">
        <v>94</v>
      </c>
      <c r="B66" s="134">
        <v>0.1</v>
      </c>
      <c r="C66" s="145">
        <f t="shared" si="28"/>
        <v>42.500041011039073</v>
      </c>
      <c r="D66" s="43">
        <f t="shared" si="38"/>
        <v>42500.041011039073</v>
      </c>
      <c r="E66" s="36">
        <f>658+203.75</f>
        <v>861.75</v>
      </c>
      <c r="F66" s="43">
        <f t="shared" si="29"/>
        <v>36.258749999999999</v>
      </c>
      <c r="G66" s="36"/>
      <c r="H66" s="36">
        <f t="shared" si="39"/>
        <v>36258.75</v>
      </c>
      <c r="I66" s="36">
        <v>0</v>
      </c>
      <c r="J66" s="36"/>
      <c r="K66" s="43">
        <f t="shared" si="30"/>
        <v>48.344999999999999</v>
      </c>
      <c r="L66" s="36">
        <v>48345</v>
      </c>
      <c r="M66" s="43">
        <f t="shared" si="31"/>
        <v>0</v>
      </c>
      <c r="N66" s="36"/>
      <c r="O66" s="43">
        <f t="shared" si="32"/>
        <v>0</v>
      </c>
      <c r="P66" s="36">
        <f t="shared" si="40"/>
        <v>0</v>
      </c>
      <c r="Q66" s="36">
        <v>0</v>
      </c>
      <c r="R66" s="43">
        <f t="shared" si="33"/>
        <v>0</v>
      </c>
      <c r="S66" s="36"/>
      <c r="T66" s="36"/>
      <c r="U66" s="146">
        <f>U8/B8*B66</f>
        <v>41638.291011039073</v>
      </c>
      <c r="V66" s="36">
        <f t="shared" si="34"/>
        <v>42.500041011039073</v>
      </c>
      <c r="W66" s="36">
        <f t="shared" si="35"/>
        <v>36.258749999999999</v>
      </c>
      <c r="X66" s="36">
        <f t="shared" si="36"/>
        <v>0</v>
      </c>
      <c r="Y66" s="43">
        <f t="shared" si="37"/>
        <v>48.344999999999999</v>
      </c>
      <c r="Z66" s="47"/>
      <c r="AA66" s="47"/>
    </row>
    <row r="67" spans="1:27" s="118" customFormat="1" ht="9.9499999999999993" customHeight="1" x14ac:dyDescent="0.15">
      <c r="A67" s="142" t="s">
        <v>64</v>
      </c>
      <c r="B67" s="125">
        <f>SUM(B68:B70)</f>
        <v>0.3</v>
      </c>
      <c r="C67" s="140">
        <f t="shared" si="28"/>
        <v>128.33389303311719</v>
      </c>
      <c r="D67" s="41">
        <f t="shared" si="38"/>
        <v>128333.8930331172</v>
      </c>
      <c r="E67" s="33">
        <f>E68+E69+E70</f>
        <v>3419.02</v>
      </c>
      <c r="F67" s="41">
        <f t="shared" si="29"/>
        <v>183.77699999999999</v>
      </c>
      <c r="G67" s="33">
        <f>I67/2</f>
        <v>50000</v>
      </c>
      <c r="H67" s="33">
        <f>H68+H69+H70</f>
        <v>183777</v>
      </c>
      <c r="I67" s="33">
        <v>100000</v>
      </c>
      <c r="J67" s="33">
        <f>J68+J69+J70</f>
        <v>0</v>
      </c>
      <c r="K67" s="41">
        <f t="shared" si="30"/>
        <v>245.036</v>
      </c>
      <c r="L67" s="33">
        <f>L68+L69+L70</f>
        <v>245036</v>
      </c>
      <c r="M67" s="41">
        <f t="shared" si="31"/>
        <v>0</v>
      </c>
      <c r="N67" s="33"/>
      <c r="O67" s="41">
        <f t="shared" si="32"/>
        <v>0</v>
      </c>
      <c r="P67" s="33">
        <f t="shared" si="40"/>
        <v>0</v>
      </c>
      <c r="Q67" s="33">
        <v>0</v>
      </c>
      <c r="R67" s="41">
        <f t="shared" si="33"/>
        <v>0</v>
      </c>
      <c r="S67" s="33"/>
      <c r="T67" s="33"/>
      <c r="U67" s="143">
        <f>U8/B8*B67</f>
        <v>124914.8730331172</v>
      </c>
      <c r="V67" s="33">
        <f t="shared" si="34"/>
        <v>128.33389303311719</v>
      </c>
      <c r="W67" s="33">
        <f t="shared" si="35"/>
        <v>183.77699999999999</v>
      </c>
      <c r="X67" s="33">
        <f t="shared" si="36"/>
        <v>0</v>
      </c>
      <c r="Y67" s="41">
        <f t="shared" si="37"/>
        <v>245.036</v>
      </c>
      <c r="Z67" s="47"/>
      <c r="AA67" s="47"/>
    </row>
    <row r="68" spans="1:27" s="117" customFormat="1" ht="9.9499999999999993" customHeight="1" x14ac:dyDescent="0.15">
      <c r="A68" s="144" t="s">
        <v>35</v>
      </c>
      <c r="B68" s="134">
        <v>0.05</v>
      </c>
      <c r="C68" s="145">
        <f t="shared" si="28"/>
        <v>20.819145505519536</v>
      </c>
      <c r="D68" s="43">
        <f t="shared" si="38"/>
        <v>20819.145505519537</v>
      </c>
      <c r="E68" s="36">
        <v>0</v>
      </c>
      <c r="F68" s="43">
        <f t="shared" si="29"/>
        <v>93.129750000000001</v>
      </c>
      <c r="G68" s="36">
        <v>50000</v>
      </c>
      <c r="H68" s="36">
        <f>L68*0.75</f>
        <v>93129.75</v>
      </c>
      <c r="I68" s="36">
        <v>100000</v>
      </c>
      <c r="J68" s="36"/>
      <c r="K68" s="43">
        <f t="shared" si="30"/>
        <v>124.173</v>
      </c>
      <c r="L68" s="36">
        <v>124173</v>
      </c>
      <c r="M68" s="43">
        <f t="shared" si="31"/>
        <v>0</v>
      </c>
      <c r="N68" s="36"/>
      <c r="O68" s="43">
        <f t="shared" si="32"/>
        <v>0</v>
      </c>
      <c r="P68" s="33">
        <f t="shared" si="40"/>
        <v>0</v>
      </c>
      <c r="Q68" s="36">
        <v>0</v>
      </c>
      <c r="R68" s="43">
        <f t="shared" si="33"/>
        <v>0</v>
      </c>
      <c r="S68" s="36"/>
      <c r="T68" s="36"/>
      <c r="U68" s="146">
        <f>U8/B8*B68</f>
        <v>20819.145505519537</v>
      </c>
      <c r="V68" s="36">
        <f t="shared" si="34"/>
        <v>20.819145505519536</v>
      </c>
      <c r="W68" s="36">
        <f t="shared" si="35"/>
        <v>93.129750000000001</v>
      </c>
      <c r="X68" s="36">
        <f t="shared" si="36"/>
        <v>0</v>
      </c>
      <c r="Y68" s="43">
        <f t="shared" si="37"/>
        <v>124.173</v>
      </c>
      <c r="Z68" s="47"/>
      <c r="AA68" s="47"/>
    </row>
    <row r="69" spans="1:27" s="117" customFormat="1" ht="9.9499999999999993" customHeight="1" x14ac:dyDescent="0.15">
      <c r="A69" s="144" t="s">
        <v>22</v>
      </c>
      <c r="B69" s="134">
        <v>0</v>
      </c>
      <c r="C69" s="145">
        <f t="shared" si="28"/>
        <v>3.4190200000000002</v>
      </c>
      <c r="D69" s="43">
        <f t="shared" si="38"/>
        <v>3419.02</v>
      </c>
      <c r="E69" s="36">
        <f>3298.02+121</f>
        <v>3419.02</v>
      </c>
      <c r="F69" s="43">
        <f t="shared" si="29"/>
        <v>0</v>
      </c>
      <c r="G69" s="36">
        <v>0</v>
      </c>
      <c r="H69" s="36">
        <f>L69*0.75</f>
        <v>0</v>
      </c>
      <c r="I69" s="36">
        <v>0</v>
      </c>
      <c r="J69" s="36"/>
      <c r="K69" s="43">
        <f t="shared" si="30"/>
        <v>0</v>
      </c>
      <c r="L69" s="36"/>
      <c r="M69" s="43">
        <f t="shared" si="31"/>
        <v>0</v>
      </c>
      <c r="N69" s="36"/>
      <c r="O69" s="43">
        <f t="shared" si="32"/>
        <v>0</v>
      </c>
      <c r="P69" s="33">
        <f t="shared" si="40"/>
        <v>0</v>
      </c>
      <c r="Q69" s="36">
        <v>0</v>
      </c>
      <c r="R69" s="43">
        <f t="shared" si="33"/>
        <v>0</v>
      </c>
      <c r="S69" s="36"/>
      <c r="T69" s="36"/>
      <c r="U69" s="146"/>
      <c r="V69" s="36">
        <f t="shared" si="34"/>
        <v>3.4190200000000002</v>
      </c>
      <c r="W69" s="36">
        <f t="shared" si="35"/>
        <v>0</v>
      </c>
      <c r="X69" s="36">
        <f t="shared" si="36"/>
        <v>0</v>
      </c>
      <c r="Y69" s="43">
        <f t="shared" si="37"/>
        <v>0</v>
      </c>
      <c r="Z69" s="47"/>
      <c r="AA69" s="47"/>
    </row>
    <row r="70" spans="1:27" s="117" customFormat="1" ht="9.9499999999999993" customHeight="1" x14ac:dyDescent="0.15">
      <c r="A70" s="144" t="s">
        <v>37</v>
      </c>
      <c r="B70" s="134">
        <v>0.25</v>
      </c>
      <c r="C70" s="145">
        <f t="shared" si="28"/>
        <v>104.09572752759767</v>
      </c>
      <c r="D70" s="43">
        <f t="shared" si="38"/>
        <v>104095.72752759767</v>
      </c>
      <c r="E70" s="36"/>
      <c r="F70" s="43">
        <f t="shared" si="29"/>
        <v>90.64725</v>
      </c>
      <c r="G70" s="36"/>
      <c r="H70" s="36">
        <f>L70*0.75</f>
        <v>90647.25</v>
      </c>
      <c r="I70" s="36"/>
      <c r="J70" s="36"/>
      <c r="K70" s="43">
        <f t="shared" si="30"/>
        <v>120.863</v>
      </c>
      <c r="L70" s="36">
        <f>48345+72518</f>
        <v>120863</v>
      </c>
      <c r="M70" s="43">
        <f t="shared" si="31"/>
        <v>0</v>
      </c>
      <c r="N70" s="36"/>
      <c r="O70" s="43">
        <f t="shared" si="32"/>
        <v>0</v>
      </c>
      <c r="P70" s="33">
        <f t="shared" si="40"/>
        <v>0</v>
      </c>
      <c r="Q70" s="36">
        <v>0</v>
      </c>
      <c r="R70" s="43">
        <f t="shared" si="33"/>
        <v>0</v>
      </c>
      <c r="S70" s="36"/>
      <c r="T70" s="36"/>
      <c r="U70" s="146">
        <f>U8/B8*B70</f>
        <v>104095.72752759767</v>
      </c>
      <c r="V70" s="36">
        <f t="shared" si="34"/>
        <v>104.09572752759767</v>
      </c>
      <c r="W70" s="36">
        <f t="shared" si="35"/>
        <v>90.64725</v>
      </c>
      <c r="X70" s="36">
        <f t="shared" si="36"/>
        <v>0</v>
      </c>
      <c r="Y70" s="43">
        <f t="shared" si="37"/>
        <v>120.863</v>
      </c>
      <c r="Z70" s="47"/>
      <c r="AA70" s="47"/>
    </row>
    <row r="71" spans="1:27" s="117" customFormat="1" ht="9" customHeight="1" x14ac:dyDescent="0.15">
      <c r="A71" s="144"/>
      <c r="B71" s="134"/>
      <c r="C71" s="140"/>
      <c r="D71" s="41"/>
      <c r="E71" s="36"/>
      <c r="F71" s="41"/>
      <c r="G71" s="36"/>
      <c r="H71" s="36"/>
      <c r="I71" s="36"/>
      <c r="J71" s="36"/>
      <c r="K71" s="41"/>
      <c r="L71" s="36"/>
      <c r="M71" s="43"/>
      <c r="N71" s="36"/>
      <c r="O71" s="43"/>
      <c r="P71" s="36"/>
      <c r="Q71" s="36"/>
      <c r="R71" s="43"/>
      <c r="S71" s="36"/>
      <c r="T71" s="36"/>
      <c r="U71" s="146"/>
      <c r="V71" s="36"/>
      <c r="W71" s="36"/>
      <c r="X71" s="36"/>
      <c r="Y71" s="41"/>
      <c r="Z71" s="47"/>
      <c r="AA71" s="47"/>
    </row>
    <row r="72" spans="1:27" s="42" customFormat="1" x14ac:dyDescent="0.15">
      <c r="A72" s="138" t="s">
        <v>83</v>
      </c>
      <c r="B72" s="149">
        <f>B73+B84</f>
        <v>8.7799999999999994</v>
      </c>
      <c r="C72" s="140">
        <f t="shared" ref="C72:C93" si="41">D72/1000</f>
        <v>6625.9959507692311</v>
      </c>
      <c r="D72" s="41">
        <f>D73+D84</f>
        <v>6625995.9507692307</v>
      </c>
      <c r="E72" s="41">
        <f>E73+E84</f>
        <v>2970154</v>
      </c>
      <c r="F72" s="41">
        <f>H72/1000</f>
        <v>8299.5329999999994</v>
      </c>
      <c r="G72" s="41">
        <f>G73+G84</f>
        <v>3410675</v>
      </c>
      <c r="H72" s="41">
        <f>H73+H84</f>
        <v>8299533</v>
      </c>
      <c r="I72" s="41">
        <f>I73+I84</f>
        <v>6821350</v>
      </c>
      <c r="J72" s="41">
        <f>J73+J84</f>
        <v>0</v>
      </c>
      <c r="K72" s="41">
        <f>L72/1000</f>
        <v>11066.044</v>
      </c>
      <c r="L72" s="148">
        <f>L73+L84</f>
        <v>11066044</v>
      </c>
      <c r="M72" s="41">
        <f t="shared" ref="M72:M93" si="42">N72/1000*-1</f>
        <v>-34.938000000000002</v>
      </c>
      <c r="N72" s="41">
        <f>N73+N84</f>
        <v>34938</v>
      </c>
      <c r="O72" s="41">
        <f t="shared" ref="O72:O93" si="43">P72/1000*-1</f>
        <v>0</v>
      </c>
      <c r="P72" s="41">
        <f>P73+P84</f>
        <v>0</v>
      </c>
      <c r="Q72" s="41">
        <v>0</v>
      </c>
      <c r="R72" s="41">
        <f t="shared" ref="R72:R93" si="44">S72/1000*-1</f>
        <v>0</v>
      </c>
      <c r="S72" s="148">
        <f>S73+S84</f>
        <v>0</v>
      </c>
      <c r="T72" s="148">
        <f>T73+T84</f>
        <v>34938</v>
      </c>
      <c r="U72" s="150">
        <f>U73+U84</f>
        <v>3655841.9507692298</v>
      </c>
      <c r="V72" s="33">
        <f>C72+M72</f>
        <v>6591.057950769231</v>
      </c>
      <c r="W72" s="33">
        <f t="shared" ref="W72:W93" si="45">F72+O72</f>
        <v>8299.5329999999994</v>
      </c>
      <c r="X72" s="33">
        <f t="shared" ref="X72:X93" si="46">J72+Q72</f>
        <v>0</v>
      </c>
      <c r="Y72" s="41">
        <f t="shared" ref="Y72:Y93" si="47">K72+R72</f>
        <v>11066.044</v>
      </c>
      <c r="Z72" s="47"/>
      <c r="AA72" s="47"/>
    </row>
    <row r="73" spans="1:27" s="118" customFormat="1" ht="9.9499999999999993" customHeight="1" x14ac:dyDescent="0.15">
      <c r="A73" s="142" t="s">
        <v>65</v>
      </c>
      <c r="B73" s="125">
        <f>SUM(B74:B83)</f>
        <v>5.68</v>
      </c>
      <c r="C73" s="140">
        <f t="shared" si="41"/>
        <v>3124.9279294270191</v>
      </c>
      <c r="D73" s="41">
        <f>E73+U73</f>
        <v>3124927.9294270189</v>
      </c>
      <c r="E73" s="33">
        <f>SUM(E74:E83)</f>
        <v>759873</v>
      </c>
      <c r="F73" s="41">
        <f>H73/1000</f>
        <v>3434.2485000000001</v>
      </c>
      <c r="G73" s="33">
        <f>I73/2</f>
        <v>916500</v>
      </c>
      <c r="H73" s="33">
        <f t="shared" ref="H73:H93" si="48">L73*0.75</f>
        <v>3434248.5</v>
      </c>
      <c r="I73" s="33">
        <v>1833000</v>
      </c>
      <c r="J73" s="33">
        <f>J74+J75+J76+J77+J78+J79+J80+J82+J81+J83</f>
        <v>0</v>
      </c>
      <c r="K73" s="41">
        <f>L73/1000</f>
        <v>4578.9979999999996</v>
      </c>
      <c r="L73" s="33">
        <f>SUM(L74:L83)</f>
        <v>4578998</v>
      </c>
      <c r="M73" s="41">
        <f t="shared" si="42"/>
        <v>-34.938000000000002</v>
      </c>
      <c r="N73" s="33">
        <f>N78</f>
        <v>34938</v>
      </c>
      <c r="O73" s="41">
        <f t="shared" si="43"/>
        <v>0</v>
      </c>
      <c r="P73" s="33">
        <f>P74+P76+P77+P78+P79+P80+P81+P82+P83</f>
        <v>0</v>
      </c>
      <c r="Q73" s="33">
        <v>0</v>
      </c>
      <c r="R73" s="41">
        <f t="shared" si="44"/>
        <v>0</v>
      </c>
      <c r="S73" s="33"/>
      <c r="T73" s="33">
        <f>T78</f>
        <v>34938</v>
      </c>
      <c r="U73" s="143">
        <f>U8/B8*B73</f>
        <v>2365054.9294270189</v>
      </c>
      <c r="V73" s="33">
        <f>C73+M73</f>
        <v>3089.989929427019</v>
      </c>
      <c r="W73" s="33">
        <f t="shared" si="45"/>
        <v>3434.2485000000001</v>
      </c>
      <c r="X73" s="33">
        <f t="shared" si="46"/>
        <v>0</v>
      </c>
      <c r="Y73" s="41">
        <f t="shared" si="47"/>
        <v>4578.9979999999996</v>
      </c>
      <c r="Z73" s="47"/>
      <c r="AA73" s="47"/>
    </row>
    <row r="74" spans="1:27" s="117" customFormat="1" ht="9.9499999999999993" customHeight="1" x14ac:dyDescent="0.15">
      <c r="A74" s="144" t="s">
        <v>23</v>
      </c>
      <c r="B74" s="134">
        <v>0.7</v>
      </c>
      <c r="C74" s="145">
        <f t="shared" si="41"/>
        <v>785.59703707727351</v>
      </c>
      <c r="D74" s="43">
        <f>E74+U74</f>
        <v>785597.03707727348</v>
      </c>
      <c r="E74" s="36">
        <v>494129</v>
      </c>
      <c r="F74" s="43">
        <f>H74/1000</f>
        <v>934.81124999999997</v>
      </c>
      <c r="G74" s="36">
        <f>I74/2</f>
        <v>454000</v>
      </c>
      <c r="H74" s="36">
        <f t="shared" si="48"/>
        <v>934811.25</v>
      </c>
      <c r="I74" s="36">
        <v>908000</v>
      </c>
      <c r="J74" s="36"/>
      <c r="K74" s="43">
        <f>L74/1000</f>
        <v>1246.415</v>
      </c>
      <c r="L74" s="36">
        <v>1246415</v>
      </c>
      <c r="M74" s="43">
        <f t="shared" si="42"/>
        <v>0</v>
      </c>
      <c r="N74" s="36"/>
      <c r="O74" s="43">
        <f t="shared" si="43"/>
        <v>0</v>
      </c>
      <c r="P74" s="36">
        <f t="shared" ref="P74:P83" si="49">S74*0.75</f>
        <v>0</v>
      </c>
      <c r="Q74" s="36">
        <v>0</v>
      </c>
      <c r="R74" s="43">
        <f t="shared" si="44"/>
        <v>0</v>
      </c>
      <c r="S74" s="36"/>
      <c r="T74" s="36"/>
      <c r="U74" s="146">
        <f>U8/B8*B74</f>
        <v>291468.03707727348</v>
      </c>
      <c r="V74" s="36">
        <f t="shared" ref="V74:V93" si="50">C74+M74</f>
        <v>785.59703707727351</v>
      </c>
      <c r="W74" s="36">
        <f t="shared" si="45"/>
        <v>934.81124999999997</v>
      </c>
      <c r="X74" s="36">
        <f t="shared" si="46"/>
        <v>0</v>
      </c>
      <c r="Y74" s="43">
        <f t="shared" si="47"/>
        <v>1246.415</v>
      </c>
      <c r="Z74" s="47"/>
      <c r="AA74" s="47"/>
    </row>
    <row r="75" spans="1:27" s="117" customFormat="1" ht="9.9499999999999993" hidden="1" customHeight="1" x14ac:dyDescent="0.15">
      <c r="A75" s="144"/>
      <c r="B75" s="134"/>
      <c r="C75" s="145">
        <f t="shared" si="41"/>
        <v>0</v>
      </c>
      <c r="D75" s="43"/>
      <c r="E75" s="36"/>
      <c r="F75" s="43">
        <v>0</v>
      </c>
      <c r="G75" s="36"/>
      <c r="H75" s="36">
        <f t="shared" si="48"/>
        <v>18129.75</v>
      </c>
      <c r="I75" s="36"/>
      <c r="J75" s="36"/>
      <c r="K75" s="43"/>
      <c r="L75" s="36">
        <v>24173</v>
      </c>
      <c r="M75" s="43">
        <f t="shared" si="42"/>
        <v>0</v>
      </c>
      <c r="N75" s="36"/>
      <c r="O75" s="43">
        <f t="shared" si="43"/>
        <v>0</v>
      </c>
      <c r="P75" s="36">
        <f t="shared" si="49"/>
        <v>0</v>
      </c>
      <c r="Q75" s="36">
        <v>0</v>
      </c>
      <c r="R75" s="43">
        <f t="shared" si="44"/>
        <v>0</v>
      </c>
      <c r="S75" s="36"/>
      <c r="T75" s="36"/>
      <c r="U75" s="146"/>
      <c r="V75" s="36">
        <f t="shared" si="50"/>
        <v>0</v>
      </c>
      <c r="W75" s="36">
        <f t="shared" si="45"/>
        <v>0</v>
      </c>
      <c r="X75" s="36">
        <f t="shared" si="46"/>
        <v>0</v>
      </c>
      <c r="Y75" s="43">
        <f t="shared" si="47"/>
        <v>0</v>
      </c>
      <c r="Z75" s="47"/>
      <c r="AA75" s="47"/>
    </row>
    <row r="76" spans="1:27" s="117" customFormat="1" ht="9.9499999999999993" customHeight="1" x14ac:dyDescent="0.15">
      <c r="A76" s="144" t="s">
        <v>24</v>
      </c>
      <c r="B76" s="134">
        <v>1.03</v>
      </c>
      <c r="C76" s="145">
        <f t="shared" si="41"/>
        <v>453.35839741370239</v>
      </c>
      <c r="D76" s="43">
        <f t="shared" ref="D76:D84" si="51">E76+U76</f>
        <v>453358.39741370239</v>
      </c>
      <c r="E76" s="36">
        <v>24484</v>
      </c>
      <c r="F76" s="43">
        <f t="shared" ref="F76:F82" si="52">H76/1000</f>
        <v>518.21550000000002</v>
      </c>
      <c r="G76" s="36">
        <f>I76/2</f>
        <v>96500</v>
      </c>
      <c r="H76" s="36">
        <f t="shared" si="48"/>
        <v>518215.5</v>
      </c>
      <c r="I76" s="36">
        <v>193000</v>
      </c>
      <c r="J76" s="36"/>
      <c r="K76" s="43">
        <f t="shared" ref="K76:K82" si="53">L76/1000</f>
        <v>690.95399999999995</v>
      </c>
      <c r="L76" s="36">
        <v>690954</v>
      </c>
      <c r="M76" s="43">
        <f t="shared" si="42"/>
        <v>0</v>
      </c>
      <c r="N76" s="36"/>
      <c r="O76" s="43">
        <f t="shared" si="43"/>
        <v>0</v>
      </c>
      <c r="P76" s="36">
        <f t="shared" si="49"/>
        <v>0</v>
      </c>
      <c r="Q76" s="36">
        <v>0</v>
      </c>
      <c r="R76" s="43">
        <f t="shared" si="44"/>
        <v>0</v>
      </c>
      <c r="S76" s="36"/>
      <c r="T76" s="36"/>
      <c r="U76" s="146">
        <f>U8/B8*B76</f>
        <v>428874.39741370239</v>
      </c>
      <c r="V76" s="36">
        <f t="shared" si="50"/>
        <v>453.35839741370239</v>
      </c>
      <c r="W76" s="36">
        <f t="shared" si="45"/>
        <v>518.21550000000002</v>
      </c>
      <c r="X76" s="36">
        <f t="shared" si="46"/>
        <v>0</v>
      </c>
      <c r="Y76" s="43">
        <f t="shared" si="47"/>
        <v>690.95399999999995</v>
      </c>
      <c r="Z76" s="47"/>
      <c r="AA76" s="47"/>
    </row>
    <row r="77" spans="1:27" s="117" customFormat="1" ht="9.9499999999999993" customHeight="1" x14ac:dyDescent="0.15">
      <c r="A77" s="144" t="s">
        <v>102</v>
      </c>
      <c r="B77" s="134">
        <v>0.55000000000000004</v>
      </c>
      <c r="C77" s="145">
        <f t="shared" si="41"/>
        <v>229.01060056071489</v>
      </c>
      <c r="D77" s="43">
        <f t="shared" si="51"/>
        <v>229010.6005607149</v>
      </c>
      <c r="E77" s="36"/>
      <c r="F77" s="43">
        <f t="shared" si="52"/>
        <v>274.42349999999999</v>
      </c>
      <c r="G77" s="36">
        <f>I77/2</f>
        <v>50000</v>
      </c>
      <c r="H77" s="36">
        <f t="shared" si="48"/>
        <v>274423.5</v>
      </c>
      <c r="I77" s="36">
        <v>100000</v>
      </c>
      <c r="J77" s="36"/>
      <c r="K77" s="43">
        <f t="shared" si="53"/>
        <v>365.89800000000002</v>
      </c>
      <c r="L77" s="36">
        <v>365898</v>
      </c>
      <c r="M77" s="43">
        <f t="shared" si="42"/>
        <v>0</v>
      </c>
      <c r="N77" s="36"/>
      <c r="O77" s="43">
        <f t="shared" si="43"/>
        <v>0</v>
      </c>
      <c r="P77" s="36">
        <f t="shared" si="49"/>
        <v>0</v>
      </c>
      <c r="Q77" s="36">
        <v>0</v>
      </c>
      <c r="R77" s="43">
        <f t="shared" si="44"/>
        <v>0</v>
      </c>
      <c r="S77" s="36"/>
      <c r="T77" s="36"/>
      <c r="U77" s="146">
        <f>U8/B8*B77</f>
        <v>229010.6005607149</v>
      </c>
      <c r="V77" s="36">
        <f t="shared" si="50"/>
        <v>229.01060056071489</v>
      </c>
      <c r="W77" s="36">
        <f t="shared" si="45"/>
        <v>274.42349999999999</v>
      </c>
      <c r="X77" s="36">
        <f t="shared" si="46"/>
        <v>0</v>
      </c>
      <c r="Y77" s="43">
        <f t="shared" si="47"/>
        <v>365.89800000000002</v>
      </c>
      <c r="Z77" s="47"/>
      <c r="AA77" s="47"/>
    </row>
    <row r="78" spans="1:27" s="117" customFormat="1" ht="9.9499999999999993" customHeight="1" x14ac:dyDescent="0.15">
      <c r="A78" s="144" t="s">
        <v>25</v>
      </c>
      <c r="B78" s="134">
        <v>0.1</v>
      </c>
      <c r="C78" s="145">
        <f t="shared" si="41"/>
        <v>195.90829101103907</v>
      </c>
      <c r="D78" s="43">
        <f t="shared" si="51"/>
        <v>195908.29101103908</v>
      </c>
      <c r="E78" s="36">
        <f>216130-61860</f>
        <v>154270</v>
      </c>
      <c r="F78" s="43">
        <f t="shared" si="52"/>
        <v>261.25875000000002</v>
      </c>
      <c r="G78" s="36">
        <f>I78/2</f>
        <v>150000</v>
      </c>
      <c r="H78" s="36">
        <f t="shared" si="48"/>
        <v>261258.75</v>
      </c>
      <c r="I78" s="36">
        <v>300000</v>
      </c>
      <c r="J78" s="36"/>
      <c r="K78" s="43">
        <f t="shared" si="53"/>
        <v>348.34500000000003</v>
      </c>
      <c r="L78" s="36">
        <v>348345</v>
      </c>
      <c r="M78" s="43">
        <f t="shared" si="42"/>
        <v>-34.938000000000002</v>
      </c>
      <c r="N78" s="36">
        <f>11500+23438</f>
        <v>34938</v>
      </c>
      <c r="O78" s="43">
        <f t="shared" si="43"/>
        <v>0</v>
      </c>
      <c r="P78" s="36">
        <f t="shared" si="49"/>
        <v>0</v>
      </c>
      <c r="Q78" s="36">
        <v>0</v>
      </c>
      <c r="R78" s="43">
        <f t="shared" si="44"/>
        <v>0</v>
      </c>
      <c r="S78" s="36"/>
      <c r="T78" s="36">
        <f>11500+23438</f>
        <v>34938</v>
      </c>
      <c r="U78" s="146">
        <f>U8/B8*B78</f>
        <v>41638.291011039073</v>
      </c>
      <c r="V78" s="36">
        <f t="shared" si="50"/>
        <v>160.97029101103908</v>
      </c>
      <c r="W78" s="36">
        <f t="shared" si="45"/>
        <v>261.25875000000002</v>
      </c>
      <c r="X78" s="36">
        <f t="shared" si="46"/>
        <v>0</v>
      </c>
      <c r="Y78" s="43">
        <f t="shared" si="47"/>
        <v>348.34500000000003</v>
      </c>
      <c r="Z78" s="47"/>
      <c r="AA78" s="47"/>
    </row>
    <row r="79" spans="1:27" s="117" customFormat="1" ht="9.9499999999999993" customHeight="1" x14ac:dyDescent="0.15">
      <c r="A79" s="144" t="s">
        <v>26</v>
      </c>
      <c r="B79" s="134">
        <v>0.95</v>
      </c>
      <c r="C79" s="145">
        <f t="shared" si="41"/>
        <v>426.49276460487118</v>
      </c>
      <c r="D79" s="43">
        <f t="shared" si="51"/>
        <v>426492.76460487116</v>
      </c>
      <c r="E79" s="36">
        <v>30929</v>
      </c>
      <c r="F79" s="43">
        <f t="shared" si="52"/>
        <v>344.45850000000002</v>
      </c>
      <c r="G79" s="36"/>
      <c r="H79" s="36">
        <f t="shared" si="48"/>
        <v>344458.5</v>
      </c>
      <c r="I79" s="36"/>
      <c r="J79" s="36"/>
      <c r="K79" s="43">
        <f t="shared" si="53"/>
        <v>459.27800000000002</v>
      </c>
      <c r="L79" s="36">
        <v>459278</v>
      </c>
      <c r="M79" s="43">
        <f t="shared" si="42"/>
        <v>0</v>
      </c>
      <c r="N79" s="36"/>
      <c r="O79" s="43">
        <f t="shared" si="43"/>
        <v>0</v>
      </c>
      <c r="P79" s="36">
        <f t="shared" si="49"/>
        <v>0</v>
      </c>
      <c r="Q79" s="36">
        <v>0</v>
      </c>
      <c r="R79" s="43">
        <f t="shared" si="44"/>
        <v>0</v>
      </c>
      <c r="S79" s="36"/>
      <c r="T79" s="36"/>
      <c r="U79" s="146">
        <f>U8/B8*B79</f>
        <v>395563.76460487116</v>
      </c>
      <c r="V79" s="36">
        <f t="shared" si="50"/>
        <v>426.49276460487118</v>
      </c>
      <c r="W79" s="36">
        <f t="shared" si="45"/>
        <v>344.45850000000002</v>
      </c>
      <c r="X79" s="36">
        <f t="shared" si="46"/>
        <v>0</v>
      </c>
      <c r="Y79" s="43">
        <f t="shared" si="47"/>
        <v>459.27800000000002</v>
      </c>
      <c r="Z79" s="47"/>
      <c r="AA79" s="47"/>
    </row>
    <row r="80" spans="1:27" s="117" customFormat="1" ht="9.9499999999999993" customHeight="1" x14ac:dyDescent="0.15">
      <c r="A80" s="144" t="s">
        <v>27</v>
      </c>
      <c r="B80" s="134">
        <v>1.4</v>
      </c>
      <c r="C80" s="145">
        <f t="shared" si="41"/>
        <v>628.94207415454696</v>
      </c>
      <c r="D80" s="43">
        <f t="shared" si="51"/>
        <v>628942.07415454695</v>
      </c>
      <c r="E80" s="36">
        <v>46006</v>
      </c>
      <c r="F80" s="43">
        <f t="shared" si="52"/>
        <v>520.37249999999995</v>
      </c>
      <c r="G80" s="36">
        <f>I80/2</f>
        <v>8500</v>
      </c>
      <c r="H80" s="36">
        <f t="shared" si="48"/>
        <v>520372.5</v>
      </c>
      <c r="I80" s="36">
        <v>17000</v>
      </c>
      <c r="J80" s="36"/>
      <c r="K80" s="43">
        <f t="shared" si="53"/>
        <v>693.83</v>
      </c>
      <c r="L80" s="36">
        <v>693830</v>
      </c>
      <c r="M80" s="43">
        <f t="shared" si="42"/>
        <v>0</v>
      </c>
      <c r="N80" s="36"/>
      <c r="O80" s="43">
        <f t="shared" si="43"/>
        <v>0</v>
      </c>
      <c r="P80" s="36">
        <f t="shared" si="49"/>
        <v>0</v>
      </c>
      <c r="Q80" s="36">
        <v>0</v>
      </c>
      <c r="R80" s="43">
        <f t="shared" si="44"/>
        <v>0</v>
      </c>
      <c r="S80" s="36"/>
      <c r="T80" s="36"/>
      <c r="U80" s="146">
        <f>U8/B8*B80</f>
        <v>582936.07415454695</v>
      </c>
      <c r="V80" s="36">
        <f t="shared" si="50"/>
        <v>628.94207415454696</v>
      </c>
      <c r="W80" s="36">
        <f t="shared" si="45"/>
        <v>520.37249999999995</v>
      </c>
      <c r="X80" s="36">
        <f t="shared" si="46"/>
        <v>0</v>
      </c>
      <c r="Y80" s="43">
        <f t="shared" si="47"/>
        <v>693.83</v>
      </c>
      <c r="Z80" s="47"/>
      <c r="AA80" s="47"/>
    </row>
    <row r="81" spans="1:27" s="117" customFormat="1" ht="9.9499999999999993" customHeight="1" x14ac:dyDescent="0.15">
      <c r="A81" s="144" t="s">
        <v>34</v>
      </c>
      <c r="B81" s="134">
        <v>0.6</v>
      </c>
      <c r="C81" s="145">
        <f t="shared" si="41"/>
        <v>249.82974606623441</v>
      </c>
      <c r="D81" s="43">
        <f t="shared" si="51"/>
        <v>249829.74606623439</v>
      </c>
      <c r="E81" s="36"/>
      <c r="F81" s="43">
        <f t="shared" si="52"/>
        <v>453.80250000000001</v>
      </c>
      <c r="G81" s="36">
        <f>I81/2</f>
        <v>157500</v>
      </c>
      <c r="H81" s="36">
        <f t="shared" si="48"/>
        <v>453802.5</v>
      </c>
      <c r="I81" s="36">
        <v>315000</v>
      </c>
      <c r="J81" s="36"/>
      <c r="K81" s="43">
        <f t="shared" si="53"/>
        <v>605.07000000000005</v>
      </c>
      <c r="L81" s="36">
        <v>605070</v>
      </c>
      <c r="M81" s="43">
        <f t="shared" si="42"/>
        <v>0</v>
      </c>
      <c r="N81" s="36"/>
      <c r="O81" s="43">
        <f t="shared" si="43"/>
        <v>0</v>
      </c>
      <c r="P81" s="36">
        <f t="shared" si="49"/>
        <v>0</v>
      </c>
      <c r="Q81" s="36">
        <v>0</v>
      </c>
      <c r="R81" s="43">
        <f t="shared" si="44"/>
        <v>0</v>
      </c>
      <c r="S81" s="36"/>
      <c r="T81" s="36"/>
      <c r="U81" s="146">
        <f>U8/B8*B81</f>
        <v>249829.74606623439</v>
      </c>
      <c r="V81" s="36">
        <f t="shared" si="50"/>
        <v>249.82974606623441</v>
      </c>
      <c r="W81" s="36">
        <f t="shared" si="45"/>
        <v>453.80250000000001</v>
      </c>
      <c r="X81" s="36">
        <f t="shared" si="46"/>
        <v>0</v>
      </c>
      <c r="Y81" s="43">
        <f t="shared" si="47"/>
        <v>605.07000000000005</v>
      </c>
      <c r="Z81" s="47"/>
      <c r="AA81" s="47"/>
    </row>
    <row r="82" spans="1:27" s="117" customFormat="1" ht="9.9499999999999993" customHeight="1" x14ac:dyDescent="0.15">
      <c r="A82" s="144" t="s">
        <v>101</v>
      </c>
      <c r="B82" s="134"/>
      <c r="C82" s="145">
        <f t="shared" si="41"/>
        <v>10</v>
      </c>
      <c r="D82" s="43">
        <f t="shared" si="51"/>
        <v>10000</v>
      </c>
      <c r="E82" s="36">
        <v>10000</v>
      </c>
      <c r="F82" s="43">
        <f t="shared" si="52"/>
        <v>0</v>
      </c>
      <c r="G82" s="36"/>
      <c r="H82" s="36">
        <f t="shared" si="48"/>
        <v>0</v>
      </c>
      <c r="I82" s="36"/>
      <c r="J82" s="36"/>
      <c r="K82" s="43">
        <f t="shared" si="53"/>
        <v>0</v>
      </c>
      <c r="L82" s="36"/>
      <c r="M82" s="43">
        <f t="shared" si="42"/>
        <v>0</v>
      </c>
      <c r="N82" s="36"/>
      <c r="O82" s="43">
        <f t="shared" si="43"/>
        <v>0</v>
      </c>
      <c r="P82" s="36">
        <f t="shared" si="49"/>
        <v>0</v>
      </c>
      <c r="Q82" s="36">
        <v>0</v>
      </c>
      <c r="R82" s="43">
        <f t="shared" si="44"/>
        <v>0</v>
      </c>
      <c r="S82" s="36"/>
      <c r="T82" s="36"/>
      <c r="U82" s="146"/>
      <c r="V82" s="36">
        <f t="shared" si="50"/>
        <v>10</v>
      </c>
      <c r="W82" s="36">
        <f t="shared" si="45"/>
        <v>0</v>
      </c>
      <c r="X82" s="36">
        <f t="shared" si="46"/>
        <v>0</v>
      </c>
      <c r="Y82" s="43">
        <f t="shared" si="47"/>
        <v>0</v>
      </c>
      <c r="Z82" s="47"/>
      <c r="AA82" s="47"/>
    </row>
    <row r="83" spans="1:27" s="117" customFormat="1" ht="9.9499999999999993" customHeight="1" x14ac:dyDescent="0.15">
      <c r="A83" s="144" t="s">
        <v>38</v>
      </c>
      <c r="B83" s="134">
        <v>0.35</v>
      </c>
      <c r="C83" s="145">
        <f t="shared" si="41"/>
        <v>145.78901853863672</v>
      </c>
      <c r="D83" s="43">
        <f t="shared" si="51"/>
        <v>145789.01853863674</v>
      </c>
      <c r="E83" s="36">
        <v>55</v>
      </c>
      <c r="F83" s="43">
        <f>H83/1000+F75</f>
        <v>108.77625</v>
      </c>
      <c r="G83" s="36"/>
      <c r="H83" s="36">
        <f t="shared" si="48"/>
        <v>108776.25</v>
      </c>
      <c r="I83" s="36"/>
      <c r="J83" s="36"/>
      <c r="K83" s="43">
        <f>L83/1000+24</f>
        <v>169.035</v>
      </c>
      <c r="L83" s="36">
        <v>145035</v>
      </c>
      <c r="M83" s="43">
        <f t="shared" si="42"/>
        <v>0</v>
      </c>
      <c r="N83" s="36"/>
      <c r="O83" s="43">
        <f t="shared" si="43"/>
        <v>0</v>
      </c>
      <c r="P83" s="36">
        <f t="shared" si="49"/>
        <v>0</v>
      </c>
      <c r="Q83" s="36">
        <v>0</v>
      </c>
      <c r="R83" s="43">
        <f t="shared" si="44"/>
        <v>0</v>
      </c>
      <c r="S83" s="36"/>
      <c r="T83" s="36"/>
      <c r="U83" s="146">
        <f>U8/B8*B83</f>
        <v>145734.01853863674</v>
      </c>
      <c r="V83" s="36">
        <f t="shared" si="50"/>
        <v>145.78901853863672</v>
      </c>
      <c r="W83" s="36">
        <f t="shared" si="45"/>
        <v>108.77625</v>
      </c>
      <c r="X83" s="36">
        <f t="shared" si="46"/>
        <v>0</v>
      </c>
      <c r="Y83" s="43">
        <f t="shared" si="47"/>
        <v>169.035</v>
      </c>
      <c r="Z83" s="47"/>
      <c r="AA83" s="47"/>
    </row>
    <row r="84" spans="1:27" s="118" customFormat="1" ht="9.9499999999999993" customHeight="1" x14ac:dyDescent="0.15">
      <c r="A84" s="142" t="s">
        <v>66</v>
      </c>
      <c r="B84" s="125">
        <f>SUM(B85:B93)</f>
        <v>3.1</v>
      </c>
      <c r="C84" s="140">
        <f t="shared" si="41"/>
        <v>3501.0680213422115</v>
      </c>
      <c r="D84" s="41">
        <f t="shared" si="51"/>
        <v>3501068.0213422114</v>
      </c>
      <c r="E84" s="33">
        <f>SUM(E85:E93)</f>
        <v>2210281</v>
      </c>
      <c r="F84" s="41">
        <f t="shared" ref="F84:F93" si="54">H84/1000</f>
        <v>4865.2844999999998</v>
      </c>
      <c r="G84" s="33">
        <f>SUM(G85:G93)</f>
        <v>2494175</v>
      </c>
      <c r="H84" s="33">
        <f t="shared" si="48"/>
        <v>4865284.5</v>
      </c>
      <c r="I84" s="33">
        <f>SUM(I85:I93)</f>
        <v>4988350</v>
      </c>
      <c r="J84" s="33">
        <f>J85+J86+J87+J88+J89+J90+J91+J92+J93</f>
        <v>0</v>
      </c>
      <c r="K84" s="41">
        <f t="shared" ref="K84:K93" si="55">L84/1000</f>
        <v>6487.0460000000003</v>
      </c>
      <c r="L84" s="33">
        <f>SUM(L85:L93)</f>
        <v>6487046</v>
      </c>
      <c r="M84" s="41">
        <f t="shared" si="42"/>
        <v>0</v>
      </c>
      <c r="N84" s="33"/>
      <c r="O84" s="41">
        <f t="shared" si="43"/>
        <v>0</v>
      </c>
      <c r="P84" s="33">
        <f>P85+P86+P87+P88+P89+P90+P91+P92+P93</f>
        <v>0</v>
      </c>
      <c r="Q84" s="33">
        <v>0</v>
      </c>
      <c r="R84" s="41">
        <f t="shared" si="44"/>
        <v>0</v>
      </c>
      <c r="S84" s="33"/>
      <c r="T84" s="33"/>
      <c r="U84" s="143">
        <f>U8/B8*B84</f>
        <v>1290787.0213422112</v>
      </c>
      <c r="V84" s="33">
        <f t="shared" si="50"/>
        <v>3501.0680213422115</v>
      </c>
      <c r="W84" s="33">
        <f t="shared" si="45"/>
        <v>4865.2844999999998</v>
      </c>
      <c r="X84" s="33">
        <f t="shared" si="46"/>
        <v>0</v>
      </c>
      <c r="Y84" s="41">
        <f t="shared" si="47"/>
        <v>6487.0460000000003</v>
      </c>
      <c r="Z84" s="47"/>
      <c r="AA84" s="47"/>
    </row>
    <row r="85" spans="1:27" s="117" customFormat="1" ht="9.9499999999999993" customHeight="1" x14ac:dyDescent="0.15">
      <c r="A85" s="144" t="s">
        <v>100</v>
      </c>
      <c r="B85" s="134">
        <v>0</v>
      </c>
      <c r="C85" s="145">
        <f t="shared" si="41"/>
        <v>758.29499999999996</v>
      </c>
      <c r="D85" s="43">
        <f>U85+E85</f>
        <v>758295</v>
      </c>
      <c r="E85" s="36">
        <v>758295</v>
      </c>
      <c r="F85" s="43">
        <f t="shared" si="54"/>
        <v>1500</v>
      </c>
      <c r="G85" s="36">
        <f t="shared" ref="G85:G93" si="56">I85/2</f>
        <v>1000000</v>
      </c>
      <c r="H85" s="36">
        <f t="shared" si="48"/>
        <v>1500000</v>
      </c>
      <c r="I85" s="36">
        <v>2000000</v>
      </c>
      <c r="J85" s="36"/>
      <c r="K85" s="43">
        <f t="shared" si="55"/>
        <v>2000</v>
      </c>
      <c r="L85" s="36">
        <v>2000000</v>
      </c>
      <c r="M85" s="43">
        <f t="shared" si="42"/>
        <v>0</v>
      </c>
      <c r="N85" s="36"/>
      <c r="O85" s="43">
        <f t="shared" si="43"/>
        <v>0</v>
      </c>
      <c r="P85" s="36">
        <f t="shared" ref="P85:P92" si="57">S85*0.75</f>
        <v>0</v>
      </c>
      <c r="Q85" s="36">
        <v>0</v>
      </c>
      <c r="R85" s="43">
        <f t="shared" si="44"/>
        <v>0</v>
      </c>
      <c r="S85" s="36"/>
      <c r="T85" s="36"/>
      <c r="U85" s="146"/>
      <c r="V85" s="36">
        <f t="shared" si="50"/>
        <v>758.29499999999996</v>
      </c>
      <c r="W85" s="36">
        <f t="shared" si="45"/>
        <v>1500</v>
      </c>
      <c r="X85" s="36">
        <f t="shared" si="46"/>
        <v>0</v>
      </c>
      <c r="Y85" s="43">
        <f t="shared" si="47"/>
        <v>2000</v>
      </c>
      <c r="Z85" s="47"/>
      <c r="AA85" s="47"/>
    </row>
    <row r="86" spans="1:27" s="117" customFormat="1" ht="9.9499999999999993" customHeight="1" x14ac:dyDescent="0.15">
      <c r="A86" s="144" t="s">
        <v>99</v>
      </c>
      <c r="B86" s="134">
        <v>0.1</v>
      </c>
      <c r="C86" s="145">
        <f t="shared" si="41"/>
        <v>101.32029101103907</v>
      </c>
      <c r="D86" s="43">
        <f t="shared" ref="D86:D93" si="58">E86+U86</f>
        <v>101320.29101103908</v>
      </c>
      <c r="E86" s="36">
        <v>59682</v>
      </c>
      <c r="F86" s="43">
        <f t="shared" si="54"/>
        <v>208.75874999999999</v>
      </c>
      <c r="G86" s="36">
        <f t="shared" si="56"/>
        <v>115000</v>
      </c>
      <c r="H86" s="36">
        <f t="shared" si="48"/>
        <v>208758.75</v>
      </c>
      <c r="I86" s="36">
        <v>230000</v>
      </c>
      <c r="J86" s="36"/>
      <c r="K86" s="43">
        <f t="shared" si="55"/>
        <v>278.34500000000003</v>
      </c>
      <c r="L86" s="36">
        <v>278345</v>
      </c>
      <c r="M86" s="43">
        <f t="shared" si="42"/>
        <v>0</v>
      </c>
      <c r="N86" s="36"/>
      <c r="O86" s="43">
        <f t="shared" si="43"/>
        <v>0</v>
      </c>
      <c r="P86" s="36">
        <f t="shared" si="57"/>
        <v>0</v>
      </c>
      <c r="Q86" s="36">
        <v>0</v>
      </c>
      <c r="R86" s="43">
        <f t="shared" si="44"/>
        <v>0</v>
      </c>
      <c r="S86" s="36"/>
      <c r="T86" s="36"/>
      <c r="U86" s="146">
        <f>U8/B8*B86</f>
        <v>41638.291011039073</v>
      </c>
      <c r="V86" s="36">
        <f t="shared" si="50"/>
        <v>101.32029101103907</v>
      </c>
      <c r="W86" s="36">
        <f t="shared" si="45"/>
        <v>208.75874999999999</v>
      </c>
      <c r="X86" s="36">
        <f t="shared" si="46"/>
        <v>0</v>
      </c>
      <c r="Y86" s="43">
        <f t="shared" si="47"/>
        <v>278.34500000000003</v>
      </c>
      <c r="Z86" s="47"/>
      <c r="AA86" s="47"/>
    </row>
    <row r="87" spans="1:27" s="117" customFormat="1" ht="9.9499999999999993" customHeight="1" x14ac:dyDescent="0.15">
      <c r="A87" s="144" t="s">
        <v>98</v>
      </c>
      <c r="B87" s="134">
        <v>0.3</v>
      </c>
      <c r="C87" s="145">
        <f t="shared" si="41"/>
        <v>293.8428730331172</v>
      </c>
      <c r="D87" s="43">
        <f t="shared" si="58"/>
        <v>293842.87303311721</v>
      </c>
      <c r="E87" s="36">
        <v>168928</v>
      </c>
      <c r="F87" s="43">
        <f t="shared" si="54"/>
        <v>408.77625</v>
      </c>
      <c r="G87" s="36">
        <f t="shared" si="56"/>
        <v>200000</v>
      </c>
      <c r="H87" s="36">
        <f t="shared" si="48"/>
        <v>408776.25</v>
      </c>
      <c r="I87" s="36">
        <v>400000</v>
      </c>
      <c r="J87" s="36"/>
      <c r="K87" s="43">
        <f t="shared" si="55"/>
        <v>545.03499999999997</v>
      </c>
      <c r="L87" s="36">
        <v>545035</v>
      </c>
      <c r="M87" s="43">
        <f t="shared" si="42"/>
        <v>0</v>
      </c>
      <c r="N87" s="36"/>
      <c r="O87" s="43">
        <f t="shared" si="43"/>
        <v>0</v>
      </c>
      <c r="P87" s="36">
        <f t="shared" si="57"/>
        <v>0</v>
      </c>
      <c r="Q87" s="36">
        <v>0</v>
      </c>
      <c r="R87" s="43">
        <f t="shared" si="44"/>
        <v>0</v>
      </c>
      <c r="S87" s="36"/>
      <c r="T87" s="36"/>
      <c r="U87" s="146">
        <f>U8/B8*B87</f>
        <v>124914.8730331172</v>
      </c>
      <c r="V87" s="36">
        <f t="shared" si="50"/>
        <v>293.8428730331172</v>
      </c>
      <c r="W87" s="36">
        <f t="shared" si="45"/>
        <v>408.77625</v>
      </c>
      <c r="X87" s="36">
        <f t="shared" si="46"/>
        <v>0</v>
      </c>
      <c r="Y87" s="43">
        <f t="shared" si="47"/>
        <v>545.03499999999997</v>
      </c>
      <c r="Z87" s="47"/>
      <c r="AA87" s="47"/>
    </row>
    <row r="88" spans="1:27" s="117" customFormat="1" ht="9.9499999999999993" customHeight="1" x14ac:dyDescent="0.15">
      <c r="A88" s="144" t="s">
        <v>28</v>
      </c>
      <c r="B88" s="134">
        <v>0.1</v>
      </c>
      <c r="C88" s="145">
        <f t="shared" si="41"/>
        <v>130.02729101103907</v>
      </c>
      <c r="D88" s="43">
        <f t="shared" si="58"/>
        <v>130027.29101103908</v>
      </c>
      <c r="E88" s="36">
        <v>88389</v>
      </c>
      <c r="F88" s="43">
        <f t="shared" si="54"/>
        <v>111.25875000000001</v>
      </c>
      <c r="G88" s="36">
        <f t="shared" si="56"/>
        <v>50000</v>
      </c>
      <c r="H88" s="36">
        <f t="shared" si="48"/>
        <v>111258.75</v>
      </c>
      <c r="I88" s="36">
        <v>100000</v>
      </c>
      <c r="J88" s="36"/>
      <c r="K88" s="43">
        <f t="shared" si="55"/>
        <v>148.345</v>
      </c>
      <c r="L88" s="36">
        <v>148345</v>
      </c>
      <c r="M88" s="43">
        <f t="shared" si="42"/>
        <v>0</v>
      </c>
      <c r="N88" s="36"/>
      <c r="O88" s="43">
        <f t="shared" si="43"/>
        <v>0</v>
      </c>
      <c r="P88" s="36">
        <f t="shared" si="57"/>
        <v>0</v>
      </c>
      <c r="Q88" s="36">
        <v>0</v>
      </c>
      <c r="R88" s="43">
        <f t="shared" si="44"/>
        <v>0</v>
      </c>
      <c r="S88" s="36"/>
      <c r="T88" s="36"/>
      <c r="U88" s="146">
        <f>U8/B8*B88</f>
        <v>41638.291011039073</v>
      </c>
      <c r="V88" s="36">
        <f t="shared" si="50"/>
        <v>130.02729101103907</v>
      </c>
      <c r="W88" s="36">
        <f t="shared" si="45"/>
        <v>111.25875000000001</v>
      </c>
      <c r="X88" s="36">
        <f t="shared" si="46"/>
        <v>0</v>
      </c>
      <c r="Y88" s="43">
        <f t="shared" si="47"/>
        <v>148.345</v>
      </c>
      <c r="Z88" s="47"/>
      <c r="AA88" s="47"/>
    </row>
    <row r="89" spans="1:27" s="117" customFormat="1" ht="9.9499999999999993" customHeight="1" x14ac:dyDescent="0.15">
      <c r="A89" s="144" t="s">
        <v>29</v>
      </c>
      <c r="B89" s="134">
        <v>0.55000000000000004</v>
      </c>
      <c r="C89" s="145">
        <f t="shared" si="41"/>
        <v>1173.2156005607148</v>
      </c>
      <c r="D89" s="43">
        <f t="shared" si="58"/>
        <v>1173215.600560715</v>
      </c>
      <c r="E89" s="36">
        <v>944205</v>
      </c>
      <c r="F89" s="43">
        <f t="shared" si="54"/>
        <v>1693.2360000000001</v>
      </c>
      <c r="G89" s="36">
        <f t="shared" si="56"/>
        <v>995875</v>
      </c>
      <c r="H89" s="36">
        <f t="shared" si="48"/>
        <v>1693236</v>
      </c>
      <c r="I89" s="36">
        <v>1991750</v>
      </c>
      <c r="J89" s="36"/>
      <c r="K89" s="43">
        <f t="shared" si="55"/>
        <v>2257.6480000000001</v>
      </c>
      <c r="L89" s="36">
        <v>2257648</v>
      </c>
      <c r="M89" s="43">
        <f t="shared" si="42"/>
        <v>0</v>
      </c>
      <c r="N89" s="36"/>
      <c r="O89" s="43">
        <f t="shared" si="43"/>
        <v>0</v>
      </c>
      <c r="P89" s="36">
        <f t="shared" si="57"/>
        <v>0</v>
      </c>
      <c r="Q89" s="36">
        <v>0</v>
      </c>
      <c r="R89" s="43">
        <f t="shared" si="44"/>
        <v>0</v>
      </c>
      <c r="S89" s="36"/>
      <c r="T89" s="36"/>
      <c r="U89" s="146">
        <f>U8/B8*B89</f>
        <v>229010.6005607149</v>
      </c>
      <c r="V89" s="36">
        <f t="shared" si="50"/>
        <v>1173.2156005607148</v>
      </c>
      <c r="W89" s="36">
        <f t="shared" si="45"/>
        <v>1693.2360000000001</v>
      </c>
      <c r="X89" s="36">
        <f t="shared" si="46"/>
        <v>0</v>
      </c>
      <c r="Y89" s="43">
        <f t="shared" si="47"/>
        <v>2257.6480000000001</v>
      </c>
      <c r="Z89" s="47"/>
      <c r="AA89" s="47"/>
    </row>
    <row r="90" spans="1:27" s="117" customFormat="1" ht="9.9499999999999993" customHeight="1" x14ac:dyDescent="0.15">
      <c r="A90" s="144" t="s">
        <v>30</v>
      </c>
      <c r="B90" s="134">
        <v>0.5</v>
      </c>
      <c r="C90" s="145">
        <f t="shared" si="41"/>
        <v>327.64645505519536</v>
      </c>
      <c r="D90" s="43">
        <f t="shared" si="58"/>
        <v>327646.45505519537</v>
      </c>
      <c r="E90" s="36">
        <v>119455</v>
      </c>
      <c r="F90" s="43">
        <f t="shared" si="54"/>
        <v>283.29374999999999</v>
      </c>
      <c r="G90" s="36">
        <f t="shared" si="56"/>
        <v>68000</v>
      </c>
      <c r="H90" s="36">
        <f t="shared" si="48"/>
        <v>283293.75</v>
      </c>
      <c r="I90" s="36">
        <v>136000</v>
      </c>
      <c r="J90" s="36"/>
      <c r="K90" s="43">
        <f t="shared" si="55"/>
        <v>377.72500000000002</v>
      </c>
      <c r="L90" s="36">
        <v>377725</v>
      </c>
      <c r="M90" s="43">
        <f t="shared" si="42"/>
        <v>0</v>
      </c>
      <c r="N90" s="36"/>
      <c r="O90" s="43">
        <f t="shared" si="43"/>
        <v>0</v>
      </c>
      <c r="P90" s="36">
        <f t="shared" si="57"/>
        <v>0</v>
      </c>
      <c r="Q90" s="36">
        <v>0</v>
      </c>
      <c r="R90" s="43">
        <f t="shared" si="44"/>
        <v>0</v>
      </c>
      <c r="S90" s="36"/>
      <c r="T90" s="36"/>
      <c r="U90" s="146">
        <f>U8/B8*B90</f>
        <v>208191.45505519534</v>
      </c>
      <c r="V90" s="36">
        <f t="shared" si="50"/>
        <v>327.64645505519536</v>
      </c>
      <c r="W90" s="36">
        <f t="shared" si="45"/>
        <v>283.29374999999999</v>
      </c>
      <c r="X90" s="36">
        <f t="shared" si="46"/>
        <v>0</v>
      </c>
      <c r="Y90" s="43">
        <f t="shared" si="47"/>
        <v>377.72500000000002</v>
      </c>
      <c r="Z90" s="47"/>
      <c r="AA90" s="47"/>
    </row>
    <row r="91" spans="1:27" s="117" customFormat="1" ht="9.9499999999999993" customHeight="1" x14ac:dyDescent="0.15">
      <c r="A91" s="144" t="s">
        <v>31</v>
      </c>
      <c r="B91" s="134">
        <v>1.1000000000000001</v>
      </c>
      <c r="C91" s="145">
        <f t="shared" si="41"/>
        <v>494.80220112142979</v>
      </c>
      <c r="D91" s="43">
        <f t="shared" si="58"/>
        <v>494802.2011214298</v>
      </c>
      <c r="E91" s="36">
        <v>36781</v>
      </c>
      <c r="F91" s="43">
        <f t="shared" si="54"/>
        <v>448.79624999999999</v>
      </c>
      <c r="G91" s="36">
        <f t="shared" si="56"/>
        <v>33300</v>
      </c>
      <c r="H91" s="36">
        <f t="shared" si="48"/>
        <v>448796.25</v>
      </c>
      <c r="I91" s="36">
        <v>66600</v>
      </c>
      <c r="J91" s="36"/>
      <c r="K91" s="43">
        <f t="shared" si="55"/>
        <v>598.39499999999998</v>
      </c>
      <c r="L91" s="36">
        <v>598395</v>
      </c>
      <c r="M91" s="43">
        <f t="shared" si="42"/>
        <v>0</v>
      </c>
      <c r="N91" s="36"/>
      <c r="O91" s="43">
        <f t="shared" si="43"/>
        <v>0</v>
      </c>
      <c r="P91" s="36">
        <f t="shared" si="57"/>
        <v>0</v>
      </c>
      <c r="Q91" s="36">
        <v>0</v>
      </c>
      <c r="R91" s="43">
        <f t="shared" si="44"/>
        <v>0</v>
      </c>
      <c r="S91" s="36"/>
      <c r="T91" s="36"/>
      <c r="U91" s="146">
        <f>U8/B8*B91</f>
        <v>458021.2011214298</v>
      </c>
      <c r="V91" s="36">
        <f t="shared" si="50"/>
        <v>494.80220112142979</v>
      </c>
      <c r="W91" s="36">
        <f t="shared" si="45"/>
        <v>448.79624999999999</v>
      </c>
      <c r="X91" s="36">
        <f t="shared" si="46"/>
        <v>0</v>
      </c>
      <c r="Y91" s="43">
        <f t="shared" si="47"/>
        <v>598.39499999999998</v>
      </c>
      <c r="Z91" s="47"/>
      <c r="AA91" s="47"/>
    </row>
    <row r="92" spans="1:27" s="117" customFormat="1" ht="9.9499999999999993" customHeight="1" x14ac:dyDescent="0.15">
      <c r="A92" s="144" t="s">
        <v>32</v>
      </c>
      <c r="B92" s="134">
        <v>0.4</v>
      </c>
      <c r="C92" s="145">
        <f t="shared" si="41"/>
        <v>199.0381640441563</v>
      </c>
      <c r="D92" s="43">
        <f t="shared" si="58"/>
        <v>199038.16404415629</v>
      </c>
      <c r="E92" s="36">
        <v>32485</v>
      </c>
      <c r="F92" s="43">
        <f t="shared" si="54"/>
        <v>182.535</v>
      </c>
      <c r="G92" s="36">
        <f t="shared" si="56"/>
        <v>25000</v>
      </c>
      <c r="H92" s="36">
        <f t="shared" si="48"/>
        <v>182535</v>
      </c>
      <c r="I92" s="36">
        <v>50000</v>
      </c>
      <c r="J92" s="36"/>
      <c r="K92" s="43">
        <f t="shared" si="55"/>
        <v>243.38</v>
      </c>
      <c r="L92" s="36">
        <v>243380</v>
      </c>
      <c r="M92" s="43">
        <f t="shared" si="42"/>
        <v>0</v>
      </c>
      <c r="N92" s="36"/>
      <c r="O92" s="43">
        <f t="shared" si="43"/>
        <v>0</v>
      </c>
      <c r="P92" s="36">
        <f t="shared" si="57"/>
        <v>0</v>
      </c>
      <c r="Q92" s="36">
        <v>0</v>
      </c>
      <c r="R92" s="43">
        <f t="shared" si="44"/>
        <v>0</v>
      </c>
      <c r="S92" s="36"/>
      <c r="T92" s="36"/>
      <c r="U92" s="146">
        <f>U8/B8*B92</f>
        <v>166553.16404415629</v>
      </c>
      <c r="V92" s="36">
        <f t="shared" si="50"/>
        <v>199.0381640441563</v>
      </c>
      <c r="W92" s="36">
        <f t="shared" si="45"/>
        <v>182.535</v>
      </c>
      <c r="X92" s="36">
        <f t="shared" si="46"/>
        <v>0</v>
      </c>
      <c r="Y92" s="43">
        <f t="shared" si="47"/>
        <v>243.38</v>
      </c>
      <c r="Z92" s="47"/>
      <c r="AA92" s="47"/>
    </row>
    <row r="93" spans="1:27" s="117" customFormat="1" ht="9.9499999999999993" customHeight="1" x14ac:dyDescent="0.15">
      <c r="A93" s="144" t="s">
        <v>97</v>
      </c>
      <c r="B93" s="134">
        <v>0.05</v>
      </c>
      <c r="C93" s="145">
        <f t="shared" si="41"/>
        <v>22.880145505519536</v>
      </c>
      <c r="D93" s="43">
        <f t="shared" si="58"/>
        <v>22880.145505519537</v>
      </c>
      <c r="E93" s="36">
        <v>2061</v>
      </c>
      <c r="F93" s="43">
        <f t="shared" si="54"/>
        <v>28.629750000000001</v>
      </c>
      <c r="G93" s="36">
        <f t="shared" si="56"/>
        <v>7000</v>
      </c>
      <c r="H93" s="36">
        <f t="shared" si="48"/>
        <v>28629.75</v>
      </c>
      <c r="I93" s="36">
        <v>14000</v>
      </c>
      <c r="J93" s="36"/>
      <c r="K93" s="43">
        <f t="shared" si="55"/>
        <v>38.173000000000002</v>
      </c>
      <c r="L93" s="36">
        <v>38173</v>
      </c>
      <c r="M93" s="43">
        <f t="shared" si="42"/>
        <v>0</v>
      </c>
      <c r="N93" s="36"/>
      <c r="O93" s="43">
        <f t="shared" si="43"/>
        <v>0</v>
      </c>
      <c r="P93" s="36">
        <f>S93/2</f>
        <v>0</v>
      </c>
      <c r="Q93" s="36">
        <v>0</v>
      </c>
      <c r="R93" s="43">
        <f t="shared" si="44"/>
        <v>0</v>
      </c>
      <c r="S93" s="36"/>
      <c r="T93" s="36"/>
      <c r="U93" s="146">
        <f>U8/B8*B93</f>
        <v>20819.145505519537</v>
      </c>
      <c r="V93" s="36">
        <f t="shared" si="50"/>
        <v>22.880145505519536</v>
      </c>
      <c r="W93" s="36">
        <f t="shared" si="45"/>
        <v>28.629750000000001</v>
      </c>
      <c r="X93" s="36">
        <f t="shared" si="46"/>
        <v>0</v>
      </c>
      <c r="Y93" s="43">
        <f t="shared" si="47"/>
        <v>38.173000000000002</v>
      </c>
      <c r="Z93" s="47"/>
      <c r="AA93" s="47"/>
    </row>
    <row r="94" spans="1:27" s="117" customFormat="1" ht="9" customHeight="1" x14ac:dyDescent="0.15">
      <c r="A94" s="144"/>
      <c r="B94" s="134"/>
      <c r="C94" s="140"/>
      <c r="D94" s="43"/>
      <c r="E94" s="36"/>
      <c r="F94" s="43"/>
      <c r="G94" s="36"/>
      <c r="H94" s="36"/>
      <c r="I94" s="36"/>
      <c r="J94" s="36"/>
      <c r="K94" s="43"/>
      <c r="L94" s="36"/>
      <c r="M94" s="43"/>
      <c r="N94" s="36"/>
      <c r="O94" s="43"/>
      <c r="P94" s="36"/>
      <c r="Q94" s="36"/>
      <c r="R94" s="43"/>
      <c r="S94" s="36"/>
      <c r="T94" s="36"/>
      <c r="U94" s="146"/>
      <c r="V94" s="36"/>
      <c r="W94" s="36"/>
      <c r="X94" s="36"/>
      <c r="Y94" s="41"/>
      <c r="Z94" s="47"/>
      <c r="AA94" s="47"/>
    </row>
    <row r="95" spans="1:27" s="42" customFormat="1" x14ac:dyDescent="0.15">
      <c r="A95" s="138" t="s">
        <v>84</v>
      </c>
      <c r="B95" s="151">
        <f>B96+B97+B98+B99+B100</f>
        <v>6.0699999999999994</v>
      </c>
      <c r="C95" s="140">
        <f t="shared" ref="C95:C100" si="59">D95/1000</f>
        <v>7095.4732643700718</v>
      </c>
      <c r="D95" s="41">
        <f>D96+D97+D98+D99+D100</f>
        <v>7095473.2643700717</v>
      </c>
      <c r="E95" s="41">
        <f>E96+E97+E98+E99+E100</f>
        <v>4568029</v>
      </c>
      <c r="F95" s="41">
        <f t="shared" ref="F95:F100" si="60">H95/1000</f>
        <v>7359.8182500000003</v>
      </c>
      <c r="G95" s="41">
        <f>G96+G97+G98+G99+G100</f>
        <v>3439274</v>
      </c>
      <c r="H95" s="41">
        <f>H96+H97+H98+H99+H100</f>
        <v>7359818.25</v>
      </c>
      <c r="I95" s="41">
        <f>I96+I97+I98+I99+I100</f>
        <v>6878548</v>
      </c>
      <c r="J95" s="41">
        <f>J96+J97+J98+J99+J100</f>
        <v>0</v>
      </c>
      <c r="K95" s="41">
        <f t="shared" ref="K95:K100" si="61">L95/1000</f>
        <v>9813.0910000000003</v>
      </c>
      <c r="L95" s="148">
        <f>L96+L97+L98+L99+L100</f>
        <v>9813091</v>
      </c>
      <c r="M95" s="41">
        <f t="shared" ref="M95:M100" si="62">N95/1000*-1</f>
        <v>-849.40634999999997</v>
      </c>
      <c r="N95" s="41">
        <f>N96+N97+N98+N99+N100</f>
        <v>849406.35</v>
      </c>
      <c r="O95" s="41">
        <f t="shared" ref="O95:O100" si="63">P95/1000*-1</f>
        <v>-525</v>
      </c>
      <c r="P95" s="41">
        <f>P96+P97+P98+P99+P100</f>
        <v>525000</v>
      </c>
      <c r="Q95" s="41">
        <f>Q96+Q97+Q98+Q99+Q100</f>
        <v>0</v>
      </c>
      <c r="R95" s="41">
        <f t="shared" ref="R95:R100" si="64">S95/1000*-1</f>
        <v>-700</v>
      </c>
      <c r="S95" s="148">
        <f>S96+S97+S98+S99+S100</f>
        <v>700000</v>
      </c>
      <c r="T95" s="148">
        <f>T96+T97+T98+T99+T100</f>
        <v>849406.35</v>
      </c>
      <c r="U95" s="150">
        <f>U96+U97+U98+U99+U100</f>
        <v>2527444.2643700712</v>
      </c>
      <c r="V95" s="33">
        <f t="shared" ref="V95:V100" si="65">C95+M95</f>
        <v>6246.0669143700716</v>
      </c>
      <c r="W95" s="33">
        <f t="shared" ref="W95:W100" si="66">F95+O95</f>
        <v>6834.8182500000003</v>
      </c>
      <c r="X95" s="33">
        <f t="shared" ref="X95:Y100" si="67">J95+Q95</f>
        <v>0</v>
      </c>
      <c r="Y95" s="41">
        <f t="shared" si="67"/>
        <v>9113.0910000000003</v>
      </c>
      <c r="Z95" s="47"/>
      <c r="AA95" s="47"/>
    </row>
    <row r="96" spans="1:27" s="117" customFormat="1" ht="9.9499999999999993" customHeight="1" x14ac:dyDescent="0.15">
      <c r="A96" s="142" t="s">
        <v>67</v>
      </c>
      <c r="B96" s="125">
        <v>1.38</v>
      </c>
      <c r="C96" s="140">
        <f t="shared" si="59"/>
        <v>1008.2394159523391</v>
      </c>
      <c r="D96" s="41">
        <f>E96+U96</f>
        <v>1008239.4159523391</v>
      </c>
      <c r="E96" s="33">
        <f>429335+4296</f>
        <v>433631</v>
      </c>
      <c r="F96" s="41">
        <f t="shared" si="60"/>
        <v>809.37075000000004</v>
      </c>
      <c r="G96" s="33">
        <f>I96/2</f>
        <v>206000</v>
      </c>
      <c r="H96" s="33">
        <f>L96*0.75</f>
        <v>809370.75</v>
      </c>
      <c r="I96" s="33">
        <v>412000</v>
      </c>
      <c r="J96" s="33"/>
      <c r="K96" s="41">
        <f t="shared" si="61"/>
        <v>1079.1610000000001</v>
      </c>
      <c r="L96" s="33">
        <v>1079161</v>
      </c>
      <c r="M96" s="41">
        <f t="shared" si="62"/>
        <v>0</v>
      </c>
      <c r="N96" s="33"/>
      <c r="O96" s="41">
        <f t="shared" si="63"/>
        <v>0</v>
      </c>
      <c r="P96" s="33">
        <f>S96*0.75</f>
        <v>0</v>
      </c>
      <c r="Q96" s="33">
        <v>0</v>
      </c>
      <c r="R96" s="41">
        <f t="shared" si="64"/>
        <v>0</v>
      </c>
      <c r="S96" s="33"/>
      <c r="T96" s="33"/>
      <c r="U96" s="143">
        <f>U8/B8*B96</f>
        <v>574608.41595233907</v>
      </c>
      <c r="V96" s="33">
        <f t="shared" si="65"/>
        <v>1008.2394159523391</v>
      </c>
      <c r="W96" s="33">
        <f t="shared" si="66"/>
        <v>809.37075000000004</v>
      </c>
      <c r="X96" s="33">
        <f t="shared" si="67"/>
        <v>0</v>
      </c>
      <c r="Y96" s="41">
        <f t="shared" si="67"/>
        <v>1079.1610000000001</v>
      </c>
      <c r="Z96" s="47"/>
      <c r="AA96" s="47"/>
    </row>
    <row r="97" spans="1:27" s="117" customFormat="1" ht="9.9499999999999993" customHeight="1" x14ac:dyDescent="0.15">
      <c r="A97" s="142" t="s">
        <v>68</v>
      </c>
      <c r="B97" s="125">
        <v>1.59</v>
      </c>
      <c r="C97" s="140">
        <f t="shared" si="59"/>
        <v>713.13782707552127</v>
      </c>
      <c r="D97" s="41">
        <f>E97+U97</f>
        <v>713137.82707552123</v>
      </c>
      <c r="E97" s="33">
        <v>51089</v>
      </c>
      <c r="F97" s="41">
        <f t="shared" si="60"/>
        <v>821.0145</v>
      </c>
      <c r="G97" s="33">
        <f>I97/2</f>
        <v>163000</v>
      </c>
      <c r="H97" s="33">
        <f>L97*0.75</f>
        <v>821014.5</v>
      </c>
      <c r="I97" s="33">
        <v>326000</v>
      </c>
      <c r="J97" s="33"/>
      <c r="K97" s="41">
        <f t="shared" si="61"/>
        <v>1094.6859999999999</v>
      </c>
      <c r="L97" s="33">
        <v>1094686</v>
      </c>
      <c r="M97" s="41">
        <f t="shared" si="62"/>
        <v>0</v>
      </c>
      <c r="N97" s="33"/>
      <c r="O97" s="41">
        <f t="shared" si="63"/>
        <v>0</v>
      </c>
      <c r="P97" s="33">
        <f>S97*0.75</f>
        <v>0</v>
      </c>
      <c r="Q97" s="33">
        <v>0</v>
      </c>
      <c r="R97" s="41">
        <f t="shared" si="64"/>
        <v>0</v>
      </c>
      <c r="S97" s="33"/>
      <c r="T97" s="33"/>
      <c r="U97" s="143">
        <f>U8/B8*B97</f>
        <v>662048.82707552123</v>
      </c>
      <c r="V97" s="33">
        <f t="shared" si="65"/>
        <v>713.13782707552127</v>
      </c>
      <c r="W97" s="33">
        <f t="shared" si="66"/>
        <v>821.0145</v>
      </c>
      <c r="X97" s="33">
        <f t="shared" si="67"/>
        <v>0</v>
      </c>
      <c r="Y97" s="41">
        <f t="shared" si="67"/>
        <v>1094.6859999999999</v>
      </c>
      <c r="Z97" s="47"/>
      <c r="AA97" s="47"/>
    </row>
    <row r="98" spans="1:27" s="117" customFormat="1" ht="9.9499999999999993" customHeight="1" x14ac:dyDescent="0.15">
      <c r="A98" s="142" t="s">
        <v>69</v>
      </c>
      <c r="B98" s="125">
        <v>1.1499999999999999</v>
      </c>
      <c r="C98" s="140">
        <f t="shared" si="59"/>
        <v>712.25434662694931</v>
      </c>
      <c r="D98" s="41">
        <f>E98+U98</f>
        <v>712254.34662694926</v>
      </c>
      <c r="E98" s="33">
        <v>233414</v>
      </c>
      <c r="F98" s="41">
        <f t="shared" si="60"/>
        <v>634.476</v>
      </c>
      <c r="G98" s="33">
        <f>I98/2</f>
        <v>145000</v>
      </c>
      <c r="H98" s="33">
        <f>L98*0.75</f>
        <v>634476</v>
      </c>
      <c r="I98" s="33">
        <v>290000</v>
      </c>
      <c r="J98" s="33"/>
      <c r="K98" s="41">
        <f t="shared" si="61"/>
        <v>845.96799999999996</v>
      </c>
      <c r="L98" s="33">
        <v>845968</v>
      </c>
      <c r="M98" s="41">
        <f t="shared" si="62"/>
        <v>0</v>
      </c>
      <c r="N98" s="33"/>
      <c r="O98" s="41">
        <f t="shared" si="63"/>
        <v>0</v>
      </c>
      <c r="P98" s="33">
        <f>S98*0.75</f>
        <v>0</v>
      </c>
      <c r="Q98" s="33">
        <v>0</v>
      </c>
      <c r="R98" s="41">
        <f t="shared" si="64"/>
        <v>0</v>
      </c>
      <c r="S98" s="33"/>
      <c r="T98" s="33"/>
      <c r="U98" s="143">
        <f>U8/B8*B98</f>
        <v>478840.34662694926</v>
      </c>
      <c r="V98" s="33">
        <f t="shared" si="65"/>
        <v>712.25434662694931</v>
      </c>
      <c r="W98" s="33">
        <f t="shared" si="66"/>
        <v>634.476</v>
      </c>
      <c r="X98" s="33">
        <f t="shared" si="67"/>
        <v>0</v>
      </c>
      <c r="Y98" s="41">
        <f t="shared" si="67"/>
        <v>845.96799999999996</v>
      </c>
      <c r="Z98" s="47"/>
      <c r="AA98" s="47"/>
    </row>
    <row r="99" spans="1:27" s="117" customFormat="1" ht="9.9499999999999993" customHeight="1" x14ac:dyDescent="0.15">
      <c r="A99" s="142" t="s">
        <v>70</v>
      </c>
      <c r="B99" s="125">
        <v>1.1499999999999999</v>
      </c>
      <c r="C99" s="140">
        <f t="shared" si="59"/>
        <v>3778.7943466269494</v>
      </c>
      <c r="D99" s="41">
        <f>E99+U99</f>
        <v>3778794.3466269495</v>
      </c>
      <c r="E99" s="33">
        <v>3299954</v>
      </c>
      <c r="F99" s="41">
        <f t="shared" si="60"/>
        <v>4168.9260000000004</v>
      </c>
      <c r="G99" s="33">
        <f>I99/2</f>
        <v>2501300</v>
      </c>
      <c r="H99" s="33">
        <f>L99*0.75</f>
        <v>4168926</v>
      </c>
      <c r="I99" s="33">
        <v>5002600</v>
      </c>
      <c r="J99" s="33"/>
      <c r="K99" s="41">
        <f t="shared" si="61"/>
        <v>5558.5680000000002</v>
      </c>
      <c r="L99" s="33">
        <v>5558568</v>
      </c>
      <c r="M99" s="41">
        <f t="shared" si="62"/>
        <v>-849.40634999999997</v>
      </c>
      <c r="N99" s="33">
        <f>669343+180063.35</f>
        <v>849406.35</v>
      </c>
      <c r="O99" s="41">
        <f t="shared" si="63"/>
        <v>-525</v>
      </c>
      <c r="P99" s="33">
        <f>S99*0.75</f>
        <v>525000</v>
      </c>
      <c r="Q99" s="33"/>
      <c r="R99" s="41">
        <f t="shared" si="64"/>
        <v>-700</v>
      </c>
      <c r="S99" s="33">
        <v>700000</v>
      </c>
      <c r="T99" s="33">
        <f>669343+180063.35</f>
        <v>849406.35</v>
      </c>
      <c r="U99" s="143">
        <f>U8/B8*B99</f>
        <v>478840.34662694926</v>
      </c>
      <c r="V99" s="33">
        <f t="shared" si="65"/>
        <v>2929.3879966269496</v>
      </c>
      <c r="W99" s="33">
        <f t="shared" si="66"/>
        <v>3643.9260000000004</v>
      </c>
      <c r="X99" s="33">
        <f t="shared" si="67"/>
        <v>0</v>
      </c>
      <c r="Y99" s="41">
        <f t="shared" si="67"/>
        <v>4858.5680000000002</v>
      </c>
      <c r="Z99" s="47"/>
      <c r="AA99" s="47"/>
    </row>
    <row r="100" spans="1:27" s="117" customFormat="1" ht="9.9499999999999993" customHeight="1" x14ac:dyDescent="0.15">
      <c r="A100" s="142" t="s">
        <v>71</v>
      </c>
      <c r="B100" s="125">
        <v>0.8</v>
      </c>
      <c r="C100" s="140">
        <f t="shared" si="59"/>
        <v>883.04732808831261</v>
      </c>
      <c r="D100" s="41">
        <f>E100+U100</f>
        <v>883047.32808831264</v>
      </c>
      <c r="E100" s="33">
        <v>549941</v>
      </c>
      <c r="F100" s="41">
        <f t="shared" si="60"/>
        <v>926.03099999999995</v>
      </c>
      <c r="G100" s="33">
        <f>I100/2</f>
        <v>423974</v>
      </c>
      <c r="H100" s="33">
        <f>L100*0.75</f>
        <v>926031</v>
      </c>
      <c r="I100" s="33">
        <v>847948</v>
      </c>
      <c r="J100" s="33"/>
      <c r="K100" s="41">
        <f t="shared" si="61"/>
        <v>1234.7080000000001</v>
      </c>
      <c r="L100" s="33">
        <v>1234708</v>
      </c>
      <c r="M100" s="41">
        <f t="shared" si="62"/>
        <v>0</v>
      </c>
      <c r="N100" s="33"/>
      <c r="O100" s="41">
        <f t="shared" si="63"/>
        <v>0</v>
      </c>
      <c r="P100" s="33">
        <f>S100*0.75</f>
        <v>0</v>
      </c>
      <c r="Q100" s="33">
        <v>0</v>
      </c>
      <c r="R100" s="41">
        <f t="shared" si="64"/>
        <v>0</v>
      </c>
      <c r="S100" s="33"/>
      <c r="T100" s="33"/>
      <c r="U100" s="143">
        <f>U8/B8*B100</f>
        <v>333106.32808831258</v>
      </c>
      <c r="V100" s="33">
        <f t="shared" si="65"/>
        <v>883.04732808831261</v>
      </c>
      <c r="W100" s="33">
        <f t="shared" si="66"/>
        <v>926.03099999999995</v>
      </c>
      <c r="X100" s="33">
        <f t="shared" si="67"/>
        <v>0</v>
      </c>
      <c r="Y100" s="41">
        <f t="shared" si="67"/>
        <v>1234.7080000000001</v>
      </c>
      <c r="Z100" s="47"/>
      <c r="AA100" s="47"/>
    </row>
    <row r="101" spans="1:27" s="117" customFormat="1" ht="9" customHeight="1" x14ac:dyDescent="0.15">
      <c r="A101" s="152"/>
      <c r="B101" s="125"/>
      <c r="C101" s="140"/>
      <c r="D101" s="41"/>
      <c r="E101" s="33"/>
      <c r="F101" s="41"/>
      <c r="G101" s="33"/>
      <c r="H101" s="33"/>
      <c r="I101" s="33"/>
      <c r="J101" s="33"/>
      <c r="K101" s="41"/>
      <c r="L101" s="33"/>
      <c r="M101" s="41"/>
      <c r="N101" s="33"/>
      <c r="O101" s="41"/>
      <c r="P101" s="33"/>
      <c r="Q101" s="33"/>
      <c r="R101" s="41"/>
      <c r="S101" s="33"/>
      <c r="T101" s="33"/>
      <c r="U101" s="143"/>
      <c r="V101" s="33"/>
      <c r="W101" s="33"/>
      <c r="X101" s="36"/>
      <c r="Y101" s="41"/>
      <c r="Z101" s="47"/>
      <c r="AA101" s="47"/>
    </row>
    <row r="102" spans="1:27" s="42" customFormat="1" x14ac:dyDescent="0.15">
      <c r="A102" s="138" t="s">
        <v>85</v>
      </c>
      <c r="B102" s="151">
        <f>B103+B105+B104+B106</f>
        <v>6.8599999999999994</v>
      </c>
      <c r="C102" s="140">
        <f>D102/1000</f>
        <v>12398.455023357279</v>
      </c>
      <c r="D102" s="41">
        <f>D103+D105+D104+D106</f>
        <v>12398455.02335728</v>
      </c>
      <c r="E102" s="41">
        <f>E103+E105+E104+E106</f>
        <v>9542068.2599999998</v>
      </c>
      <c r="F102" s="41">
        <f>H102/1000</f>
        <v>13463.55075</v>
      </c>
      <c r="G102" s="41">
        <f>G103+G105+G104+G106</f>
        <v>6541808.5</v>
      </c>
      <c r="H102" s="41">
        <f>H103+H105+H104+H106</f>
        <v>13463550.75</v>
      </c>
      <c r="I102" s="41">
        <f>I103+I105+I104+I106</f>
        <v>13083617</v>
      </c>
      <c r="J102" s="41">
        <f>J103+J104+J105+J106</f>
        <v>0</v>
      </c>
      <c r="K102" s="41">
        <f>L102/1000</f>
        <v>17951.401000000002</v>
      </c>
      <c r="L102" s="148">
        <f>L103+L105+L104+L106</f>
        <v>17951401</v>
      </c>
      <c r="M102" s="41">
        <f>N102/1000*-1</f>
        <v>-50008.743019999994</v>
      </c>
      <c r="N102" s="41">
        <f>N103+N105+N104+N106</f>
        <v>50008743.019999996</v>
      </c>
      <c r="O102" s="41">
        <f>P102/1000*-1</f>
        <v>-46057.508999999998</v>
      </c>
      <c r="P102" s="41">
        <f>P103+P105+P104+P106</f>
        <v>46057509</v>
      </c>
      <c r="Q102" s="41">
        <f>Q103+Q104+Q105+Q106</f>
        <v>0</v>
      </c>
      <c r="R102" s="41">
        <f>S102/1000*-1</f>
        <v>-61410.012000000002</v>
      </c>
      <c r="S102" s="148">
        <f>S103+S105+S104+S106</f>
        <v>61410012</v>
      </c>
      <c r="T102" s="148">
        <f>T103+T105+T104+T106</f>
        <v>50008743.019999996</v>
      </c>
      <c r="U102" s="150">
        <f>U103+U105+U104+U106</f>
        <v>2856386.7633572798</v>
      </c>
      <c r="V102" s="33">
        <f>C102+M102</f>
        <v>-37610.287996642714</v>
      </c>
      <c r="W102" s="33">
        <f>F102+O102</f>
        <v>-32593.958249999996</v>
      </c>
      <c r="X102" s="33">
        <f t="shared" ref="X102:Y106" si="68">J102+Q102</f>
        <v>0</v>
      </c>
      <c r="Y102" s="41">
        <f t="shared" si="68"/>
        <v>-43458.611000000004</v>
      </c>
      <c r="Z102" s="47"/>
      <c r="AA102" s="47"/>
    </row>
    <row r="103" spans="1:27" s="118" customFormat="1" ht="9.9499999999999993" customHeight="1" x14ac:dyDescent="0.15">
      <c r="A103" s="152" t="s">
        <v>72</v>
      </c>
      <c r="B103" s="125">
        <v>3.01</v>
      </c>
      <c r="C103" s="140">
        <f>D103/1000</f>
        <v>4772.0545594322757</v>
      </c>
      <c r="D103" s="41">
        <f>E103+U103</f>
        <v>4772054.5594322756</v>
      </c>
      <c r="E103" s="33">
        <v>3518742</v>
      </c>
      <c r="F103" s="41">
        <f>H103/1000</f>
        <v>5267.2102500000001</v>
      </c>
      <c r="G103" s="33">
        <f>I103/2</f>
        <v>2783881</v>
      </c>
      <c r="H103" s="33">
        <f>L103*0.75</f>
        <v>5267210.25</v>
      </c>
      <c r="I103" s="33">
        <v>5567762</v>
      </c>
      <c r="J103" s="33"/>
      <c r="K103" s="41">
        <f>L103/1000</f>
        <v>7022.9470000000001</v>
      </c>
      <c r="L103" s="33">
        <v>7022947</v>
      </c>
      <c r="M103" s="41">
        <f>N103/1000*-1</f>
        <v>-38925.231549999997</v>
      </c>
      <c r="N103" s="33">
        <f>38919711.55+5520</f>
        <v>38925231.549999997</v>
      </c>
      <c r="O103" s="41">
        <f>P103/1000*-1</f>
        <v>-39363.758999999998</v>
      </c>
      <c r="P103" s="33">
        <f>S103*0.75</f>
        <v>39363759</v>
      </c>
      <c r="Q103" s="33"/>
      <c r="R103" s="41">
        <f>S103/1000*-1</f>
        <v>-52485.012000000002</v>
      </c>
      <c r="S103" s="33">
        <v>52485012</v>
      </c>
      <c r="T103" s="33">
        <f>38919711.55+5520</f>
        <v>38925231.549999997</v>
      </c>
      <c r="U103" s="143">
        <f>U8/B8*B103</f>
        <v>1253312.5594322758</v>
      </c>
      <c r="V103" s="33">
        <f>C103+M103</f>
        <v>-34153.176990567721</v>
      </c>
      <c r="W103" s="33">
        <f>F103+O103</f>
        <v>-34096.548750000002</v>
      </c>
      <c r="X103" s="33">
        <f t="shared" si="68"/>
        <v>0</v>
      </c>
      <c r="Y103" s="41">
        <f t="shared" si="68"/>
        <v>-45462.065000000002</v>
      </c>
      <c r="Z103" s="47"/>
      <c r="AA103" s="47"/>
    </row>
    <row r="104" spans="1:27" s="118" customFormat="1" ht="9.9499999999999993" customHeight="1" x14ac:dyDescent="0.15">
      <c r="A104" s="152" t="s">
        <v>73</v>
      </c>
      <c r="B104" s="125">
        <v>2.35</v>
      </c>
      <c r="C104" s="140">
        <f>D104/1000</f>
        <v>5475.987838759419</v>
      </c>
      <c r="D104" s="41">
        <f>E104+U104</f>
        <v>5475987.8387594186</v>
      </c>
      <c r="E104" s="33">
        <v>4497488</v>
      </c>
      <c r="F104" s="41">
        <f>H104/1000</f>
        <v>5350.2472500000003</v>
      </c>
      <c r="G104" s="33">
        <f>I104/2</f>
        <v>2998777.5</v>
      </c>
      <c r="H104" s="33">
        <f>L104*0.75</f>
        <v>5350247.25</v>
      </c>
      <c r="I104" s="33">
        <v>5997555</v>
      </c>
      <c r="J104" s="33"/>
      <c r="K104" s="41">
        <f>L104/1000</f>
        <v>7133.6629999999996</v>
      </c>
      <c r="L104" s="33">
        <v>7133663</v>
      </c>
      <c r="M104" s="41">
        <f>N104/1000*-1</f>
        <v>0</v>
      </c>
      <c r="N104" s="33"/>
      <c r="O104" s="41">
        <f>P104/1000*-1</f>
        <v>0</v>
      </c>
      <c r="P104" s="33">
        <f>S104*0.75</f>
        <v>0</v>
      </c>
      <c r="Q104" s="33">
        <v>0</v>
      </c>
      <c r="R104" s="41">
        <f>S104/1000*-1</f>
        <v>0</v>
      </c>
      <c r="S104" s="33"/>
      <c r="T104" s="33"/>
      <c r="U104" s="143">
        <f>U8/B8*B104</f>
        <v>978499.83875941811</v>
      </c>
      <c r="V104" s="33">
        <f>C104+M104</f>
        <v>5475.987838759419</v>
      </c>
      <c r="W104" s="33">
        <f>F104+O104</f>
        <v>5350.2472500000003</v>
      </c>
      <c r="X104" s="33">
        <f t="shared" si="68"/>
        <v>0</v>
      </c>
      <c r="Y104" s="41">
        <f t="shared" si="68"/>
        <v>7133.6629999999996</v>
      </c>
      <c r="Z104" s="47"/>
      <c r="AA104" s="47"/>
    </row>
    <row r="105" spans="1:27" s="118" customFormat="1" ht="9.9499999999999993" customHeight="1" x14ac:dyDescent="0.15">
      <c r="A105" s="152" t="s">
        <v>74</v>
      </c>
      <c r="B105" s="125">
        <v>0.15</v>
      </c>
      <c r="C105" s="140">
        <f>D105/1000</f>
        <v>444.80843651655857</v>
      </c>
      <c r="D105" s="41">
        <f>E105+U105</f>
        <v>444808.43651655858</v>
      </c>
      <c r="E105" s="33">
        <v>382351</v>
      </c>
      <c r="F105" s="41">
        <f>H105/1000</f>
        <v>866.87474999999995</v>
      </c>
      <c r="G105" s="33">
        <f>I105/2</f>
        <v>541000</v>
      </c>
      <c r="H105" s="33">
        <f>L105*0.75</f>
        <v>866874.75</v>
      </c>
      <c r="I105" s="33">
        <v>1082000</v>
      </c>
      <c r="J105" s="33"/>
      <c r="K105" s="41">
        <f>L105/1000</f>
        <v>1155.8330000000001</v>
      </c>
      <c r="L105" s="33">
        <v>1155833</v>
      </c>
      <c r="M105" s="41">
        <f>N105/1000*-1</f>
        <v>-9610.5287099999987</v>
      </c>
      <c r="N105" s="33">
        <f>8086310.93+285115+708180+149000+381922.78</f>
        <v>9610528.709999999</v>
      </c>
      <c r="O105" s="41">
        <f>P105/1000*-1</f>
        <v>-4350</v>
      </c>
      <c r="P105" s="33">
        <f>S105*0.75</f>
        <v>4350000</v>
      </c>
      <c r="Q105" s="33"/>
      <c r="R105" s="41">
        <f>S105/1000*-1</f>
        <v>-5800</v>
      </c>
      <c r="S105" s="33">
        <v>5800000</v>
      </c>
      <c r="T105" s="33">
        <f>8086310.93+285115+708180+381922.78+149000</f>
        <v>9610528.709999999</v>
      </c>
      <c r="U105" s="143">
        <f>U8/B8*B105</f>
        <v>62457.436516558599</v>
      </c>
      <c r="V105" s="33">
        <f>C105+M105</f>
        <v>-9165.7202734834409</v>
      </c>
      <c r="W105" s="33">
        <f>F105+O105</f>
        <v>-3483.1252500000001</v>
      </c>
      <c r="X105" s="33">
        <f t="shared" si="68"/>
        <v>0</v>
      </c>
      <c r="Y105" s="41">
        <f t="shared" si="68"/>
        <v>-4644.1669999999995</v>
      </c>
      <c r="Z105" s="47"/>
      <c r="AA105" s="47"/>
    </row>
    <row r="106" spans="1:27" s="118" customFormat="1" ht="9.9499999999999993" customHeight="1" x14ac:dyDescent="0.15">
      <c r="A106" s="152" t="s">
        <v>75</v>
      </c>
      <c r="B106" s="125">
        <v>1.35</v>
      </c>
      <c r="C106" s="140">
        <f>D106/1000</f>
        <v>1705.6041886490277</v>
      </c>
      <c r="D106" s="41">
        <f>E106+U106</f>
        <v>1705604.1886490276</v>
      </c>
      <c r="E106" s="33">
        <f>254247+889240.26</f>
        <v>1143487.26</v>
      </c>
      <c r="F106" s="41">
        <f>H106/1000</f>
        <v>1979.2184999999999</v>
      </c>
      <c r="G106" s="33">
        <f>I106/2</f>
        <v>218150</v>
      </c>
      <c r="H106" s="33">
        <f>L106*0.75</f>
        <v>1979218.5</v>
      </c>
      <c r="I106" s="33">
        <v>436300</v>
      </c>
      <c r="J106" s="33"/>
      <c r="K106" s="41">
        <f>L106/1000</f>
        <v>2638.9580000000001</v>
      </c>
      <c r="L106" s="33">
        <v>2638958</v>
      </c>
      <c r="M106" s="41">
        <f>N106/1000*-1</f>
        <v>-1472.9827600000001</v>
      </c>
      <c r="N106" s="33">
        <f>1257829.76+675+214478</f>
        <v>1472982.76</v>
      </c>
      <c r="O106" s="41">
        <f>P106/1000*-1</f>
        <v>-2343.75</v>
      </c>
      <c r="P106" s="33">
        <f>S106*0.75</f>
        <v>2343750</v>
      </c>
      <c r="Q106" s="33"/>
      <c r="R106" s="41">
        <f>S106/1000*-1</f>
        <v>-3125</v>
      </c>
      <c r="S106" s="33">
        <v>3125000</v>
      </c>
      <c r="T106" s="33">
        <f>1257829.76+675+214478</f>
        <v>1472982.76</v>
      </c>
      <c r="U106" s="143">
        <f>U8/B8*B106</f>
        <v>562116.92864902748</v>
      </c>
      <c r="V106" s="33">
        <f>C106+M106</f>
        <v>232.62142864902762</v>
      </c>
      <c r="W106" s="33">
        <f>F106+O106</f>
        <v>-364.53150000000005</v>
      </c>
      <c r="X106" s="33">
        <f t="shared" si="68"/>
        <v>0</v>
      </c>
      <c r="Y106" s="41">
        <f t="shared" si="68"/>
        <v>-486.04199999999992</v>
      </c>
      <c r="Z106" s="47"/>
      <c r="AA106" s="47"/>
    </row>
    <row r="107" spans="1:27" s="118" customFormat="1" ht="9" customHeight="1" x14ac:dyDescent="0.15">
      <c r="A107" s="152"/>
      <c r="B107" s="125"/>
      <c r="C107" s="140"/>
      <c r="D107" s="41"/>
      <c r="E107" s="33"/>
      <c r="F107" s="41"/>
      <c r="G107" s="33"/>
      <c r="H107" s="33"/>
      <c r="I107" s="33"/>
      <c r="J107" s="33"/>
      <c r="K107" s="41"/>
      <c r="L107" s="33"/>
      <c r="M107" s="41"/>
      <c r="N107" s="33"/>
      <c r="O107" s="41"/>
      <c r="P107" s="33"/>
      <c r="Q107" s="33"/>
      <c r="R107" s="41"/>
      <c r="S107" s="33"/>
      <c r="T107" s="33"/>
      <c r="U107" s="143"/>
      <c r="V107" s="33"/>
      <c r="W107" s="33"/>
      <c r="X107" s="36"/>
      <c r="Y107" s="41"/>
      <c r="Z107" s="47"/>
      <c r="AA107" s="47"/>
    </row>
    <row r="108" spans="1:27" s="119" customFormat="1" x14ac:dyDescent="0.15">
      <c r="A108" s="153" t="s">
        <v>86</v>
      </c>
      <c r="B108" s="151">
        <f>B109+B110+B111+B112+B113+B114</f>
        <v>8.65</v>
      </c>
      <c r="C108" s="140">
        <f t="shared" ref="C108:C114" si="69">D108/1000</f>
        <v>10529.767172454878</v>
      </c>
      <c r="D108" s="41">
        <f>D109+D110+D111+D112+D113+D114</f>
        <v>10529767.172454879</v>
      </c>
      <c r="E108" s="41">
        <f>E109+E110+E111+E112+E113+E114</f>
        <v>6928055</v>
      </c>
      <c r="F108" s="41">
        <f t="shared" ref="F108:F121" si="70">H108/1000</f>
        <v>8879.5079999999998</v>
      </c>
      <c r="G108" s="41">
        <f>G109+G110+G111+G112+G113+G114</f>
        <v>3578750</v>
      </c>
      <c r="H108" s="41">
        <f>H109+H110+H111+H112+H113+H114</f>
        <v>8879508</v>
      </c>
      <c r="I108" s="41">
        <f>I109+I110+I111+I112+I113+I114</f>
        <v>7157500</v>
      </c>
      <c r="J108" s="41">
        <f>J109+J110+J111+J112+J113+J114</f>
        <v>0</v>
      </c>
      <c r="K108" s="41">
        <f t="shared" ref="K108:K114" si="71">L108/1000</f>
        <v>11839.343999999999</v>
      </c>
      <c r="L108" s="148">
        <f>L109+L110+L111+L112+L113+L114</f>
        <v>11839344</v>
      </c>
      <c r="M108" s="41">
        <f t="shared" ref="M108:M114" si="72">N108/1000*-1</f>
        <v>-476.20021000000003</v>
      </c>
      <c r="N108" s="41">
        <f>N109+N110+N111+N112+N113+N114</f>
        <v>476200.21</v>
      </c>
      <c r="O108" s="41">
        <f t="shared" ref="O108:O114" si="73">P108/1000*-1</f>
        <v>0</v>
      </c>
      <c r="P108" s="41">
        <f>P109+P110+P111+P112+P113+P114</f>
        <v>0</v>
      </c>
      <c r="Q108" s="41">
        <v>0</v>
      </c>
      <c r="R108" s="41">
        <f t="shared" ref="R108:R114" si="74">S108/1000*-1</f>
        <v>0</v>
      </c>
      <c r="S108" s="148">
        <f>S109+S110+S111+S112+S113+S114</f>
        <v>0</v>
      </c>
      <c r="T108" s="148">
        <f>T109+T110+T111+T112+T113+T114</f>
        <v>476200.21</v>
      </c>
      <c r="U108" s="150"/>
      <c r="V108" s="33">
        <f>C108+M108</f>
        <v>10053.566962454877</v>
      </c>
      <c r="W108" s="33">
        <f t="shared" ref="W108:W114" si="75">F108+O108</f>
        <v>8879.5079999999998</v>
      </c>
      <c r="X108" s="33">
        <f t="shared" ref="X108:Y114" si="76">J108+Q108</f>
        <v>0</v>
      </c>
      <c r="Y108" s="41">
        <f t="shared" si="76"/>
        <v>11839.343999999999</v>
      </c>
      <c r="Z108" s="47"/>
      <c r="AA108" s="47"/>
    </row>
    <row r="109" spans="1:27" s="118" customFormat="1" ht="9.9499999999999993" customHeight="1" x14ac:dyDescent="0.15">
      <c r="A109" s="142" t="s">
        <v>76</v>
      </c>
      <c r="B109" s="125">
        <v>0.7</v>
      </c>
      <c r="C109" s="140">
        <f t="shared" si="69"/>
        <v>577.46003707727345</v>
      </c>
      <c r="D109" s="41">
        <f t="shared" ref="D109:D114" si="77">E109+U109</f>
        <v>577460.03707727348</v>
      </c>
      <c r="E109" s="33">
        <v>285992</v>
      </c>
      <c r="F109" s="41">
        <f t="shared" si="70"/>
        <v>699.31124999999997</v>
      </c>
      <c r="G109" s="33">
        <f>I109/2</f>
        <v>47000</v>
      </c>
      <c r="H109" s="33">
        <f t="shared" ref="H109:H114" si="78">L109*0.75</f>
        <v>699311.25</v>
      </c>
      <c r="I109" s="33">
        <v>94000</v>
      </c>
      <c r="J109" s="33"/>
      <c r="K109" s="41">
        <f t="shared" si="71"/>
        <v>932.41499999999996</v>
      </c>
      <c r="L109" s="33">
        <v>932415</v>
      </c>
      <c r="M109" s="41">
        <f t="shared" si="72"/>
        <v>0</v>
      </c>
      <c r="N109" s="33"/>
      <c r="O109" s="41">
        <f t="shared" si="73"/>
        <v>0</v>
      </c>
      <c r="P109" s="33">
        <f t="shared" ref="P109:P114" si="79">S109*0.75</f>
        <v>0</v>
      </c>
      <c r="Q109" s="33">
        <v>0</v>
      </c>
      <c r="R109" s="41">
        <f t="shared" si="74"/>
        <v>0</v>
      </c>
      <c r="S109" s="33"/>
      <c r="T109" s="33"/>
      <c r="U109" s="143">
        <f>U8/B8*B109</f>
        <v>291468.03707727348</v>
      </c>
      <c r="V109" s="33">
        <f t="shared" ref="V109:V114" si="80">C109+M109</f>
        <v>577.46003707727345</v>
      </c>
      <c r="W109" s="33">
        <f t="shared" si="75"/>
        <v>699.31124999999997</v>
      </c>
      <c r="X109" s="33">
        <f t="shared" si="76"/>
        <v>0</v>
      </c>
      <c r="Y109" s="41">
        <f t="shared" si="76"/>
        <v>932.41499999999996</v>
      </c>
      <c r="Z109" s="47"/>
      <c r="AA109" s="47"/>
    </row>
    <row r="110" spans="1:27" s="118" customFormat="1" ht="9.9499999999999993" customHeight="1" x14ac:dyDescent="0.15">
      <c r="A110" s="142" t="s">
        <v>77</v>
      </c>
      <c r="B110" s="125">
        <v>0.45</v>
      </c>
      <c r="C110" s="140">
        <f t="shared" si="69"/>
        <v>1198.4043095496759</v>
      </c>
      <c r="D110" s="41">
        <f t="shared" si="77"/>
        <v>1198404.3095496758</v>
      </c>
      <c r="E110" s="33">
        <v>1011032</v>
      </c>
      <c r="F110" s="41">
        <f t="shared" si="70"/>
        <v>589.91475000000003</v>
      </c>
      <c r="G110" s="33">
        <f>I110/2</f>
        <v>284500</v>
      </c>
      <c r="H110" s="33">
        <f t="shared" si="78"/>
        <v>589914.75</v>
      </c>
      <c r="I110" s="33">
        <v>569000</v>
      </c>
      <c r="J110" s="33"/>
      <c r="K110" s="41">
        <f t="shared" si="71"/>
        <v>786.553</v>
      </c>
      <c r="L110" s="33">
        <v>786553</v>
      </c>
      <c r="M110" s="41">
        <f t="shared" si="72"/>
        <v>0</v>
      </c>
      <c r="N110" s="33"/>
      <c r="O110" s="41">
        <f t="shared" si="73"/>
        <v>0</v>
      </c>
      <c r="P110" s="33">
        <f t="shared" si="79"/>
        <v>0</v>
      </c>
      <c r="Q110" s="33">
        <v>0</v>
      </c>
      <c r="R110" s="41">
        <f t="shared" si="74"/>
        <v>0</v>
      </c>
      <c r="S110" s="33"/>
      <c r="T110" s="33"/>
      <c r="U110" s="143">
        <f>U8/B8*B110</f>
        <v>187372.30954967582</v>
      </c>
      <c r="V110" s="33">
        <f t="shared" si="80"/>
        <v>1198.4043095496759</v>
      </c>
      <c r="W110" s="33">
        <f t="shared" si="75"/>
        <v>589.91475000000003</v>
      </c>
      <c r="X110" s="33">
        <f t="shared" si="76"/>
        <v>0</v>
      </c>
      <c r="Y110" s="41">
        <f t="shared" si="76"/>
        <v>786.553</v>
      </c>
      <c r="Z110" s="47"/>
      <c r="AA110" s="47"/>
    </row>
    <row r="111" spans="1:27" s="118" customFormat="1" ht="9.9499999999999993" customHeight="1" x14ac:dyDescent="0.15">
      <c r="A111" s="142" t="s">
        <v>78</v>
      </c>
      <c r="B111" s="125">
        <v>1.4</v>
      </c>
      <c r="C111" s="140">
        <f t="shared" si="69"/>
        <v>589.66507415454691</v>
      </c>
      <c r="D111" s="41">
        <f t="shared" si="77"/>
        <v>589665.07415454695</v>
      </c>
      <c r="E111" s="33">
        <v>6729</v>
      </c>
      <c r="F111" s="41">
        <f t="shared" si="70"/>
        <v>507.6225</v>
      </c>
      <c r="G111" s="33"/>
      <c r="H111" s="33">
        <f t="shared" si="78"/>
        <v>507622.5</v>
      </c>
      <c r="I111" s="33">
        <v>0</v>
      </c>
      <c r="J111" s="33"/>
      <c r="K111" s="41">
        <f t="shared" si="71"/>
        <v>676.83</v>
      </c>
      <c r="L111" s="33">
        <v>676830</v>
      </c>
      <c r="M111" s="41">
        <f t="shared" si="72"/>
        <v>0</v>
      </c>
      <c r="N111" s="33"/>
      <c r="O111" s="41">
        <f t="shared" si="73"/>
        <v>0</v>
      </c>
      <c r="P111" s="33">
        <f t="shared" si="79"/>
        <v>0</v>
      </c>
      <c r="Q111" s="33">
        <v>0</v>
      </c>
      <c r="R111" s="41">
        <f t="shared" si="74"/>
        <v>0</v>
      </c>
      <c r="S111" s="33"/>
      <c r="T111" s="33"/>
      <c r="U111" s="143">
        <f>U8/B8*B111</f>
        <v>582936.07415454695</v>
      </c>
      <c r="V111" s="33">
        <f t="shared" si="80"/>
        <v>589.66507415454691</v>
      </c>
      <c r="W111" s="33">
        <f t="shared" si="75"/>
        <v>507.6225</v>
      </c>
      <c r="X111" s="33">
        <f t="shared" si="76"/>
        <v>0</v>
      </c>
      <c r="Y111" s="41">
        <f t="shared" si="76"/>
        <v>676.83</v>
      </c>
      <c r="Z111" s="47"/>
      <c r="AA111" s="47"/>
    </row>
    <row r="112" spans="1:27" s="118" customFormat="1" ht="9.9499999999999993" customHeight="1" x14ac:dyDescent="0.15">
      <c r="A112" s="142" t="s">
        <v>79</v>
      </c>
      <c r="B112" s="125">
        <v>3.35</v>
      </c>
      <c r="C112" s="140">
        <f t="shared" si="69"/>
        <v>3002.7947488698087</v>
      </c>
      <c r="D112" s="41">
        <f t="shared" si="77"/>
        <v>3002794.7488698089</v>
      </c>
      <c r="E112" s="33">
        <v>1607912</v>
      </c>
      <c r="F112" s="41">
        <f t="shared" si="70"/>
        <v>2582.2935000000002</v>
      </c>
      <c r="G112" s="33">
        <f>I112/2</f>
        <v>911750</v>
      </c>
      <c r="H112" s="33">
        <f t="shared" si="78"/>
        <v>2582293.5</v>
      </c>
      <c r="I112" s="33">
        <v>1823500</v>
      </c>
      <c r="J112" s="33"/>
      <c r="K112" s="41">
        <f t="shared" si="71"/>
        <v>3443.058</v>
      </c>
      <c r="L112" s="33">
        <v>3443058</v>
      </c>
      <c r="M112" s="41">
        <f t="shared" si="72"/>
        <v>0</v>
      </c>
      <c r="N112" s="33"/>
      <c r="O112" s="41">
        <f t="shared" si="73"/>
        <v>0</v>
      </c>
      <c r="P112" s="33">
        <f t="shared" si="79"/>
        <v>0</v>
      </c>
      <c r="Q112" s="33">
        <v>0</v>
      </c>
      <c r="R112" s="41">
        <f t="shared" si="74"/>
        <v>0</v>
      </c>
      <c r="S112" s="33"/>
      <c r="T112" s="33"/>
      <c r="U112" s="143">
        <f>U8/B8*B112</f>
        <v>1394882.7488698089</v>
      </c>
      <c r="V112" s="33">
        <f t="shared" si="80"/>
        <v>3002.7947488698087</v>
      </c>
      <c r="W112" s="33">
        <f t="shared" si="75"/>
        <v>2582.2935000000002</v>
      </c>
      <c r="X112" s="33">
        <f t="shared" si="76"/>
        <v>0</v>
      </c>
      <c r="Y112" s="41">
        <f t="shared" si="76"/>
        <v>3443.058</v>
      </c>
      <c r="Z112" s="47"/>
      <c r="AA112" s="47"/>
    </row>
    <row r="113" spans="1:27" s="118" customFormat="1" ht="9.9499999999999993" customHeight="1" x14ac:dyDescent="0.15">
      <c r="A113" s="142" t="s">
        <v>80</v>
      </c>
      <c r="B113" s="125">
        <v>1.8</v>
      </c>
      <c r="C113" s="140">
        <f t="shared" si="69"/>
        <v>2906.9702381987031</v>
      </c>
      <c r="D113" s="41">
        <f t="shared" si="77"/>
        <v>2906970.2381987032</v>
      </c>
      <c r="E113" s="33">
        <v>2157481</v>
      </c>
      <c r="F113" s="41">
        <f t="shared" si="70"/>
        <v>2683.6574999999998</v>
      </c>
      <c r="G113" s="33">
        <f>I113/2</f>
        <v>1354000</v>
      </c>
      <c r="H113" s="33">
        <f t="shared" si="78"/>
        <v>2683657.5</v>
      </c>
      <c r="I113" s="33">
        <v>2708000</v>
      </c>
      <c r="J113" s="33"/>
      <c r="K113" s="41">
        <f t="shared" si="71"/>
        <v>3578.21</v>
      </c>
      <c r="L113" s="33">
        <v>3578210</v>
      </c>
      <c r="M113" s="41">
        <f t="shared" si="72"/>
        <v>-476.20021000000003</v>
      </c>
      <c r="N113" s="33">
        <f>33181+18000+379772+45247.21</f>
        <v>476200.21</v>
      </c>
      <c r="O113" s="41">
        <f t="shared" si="73"/>
        <v>0</v>
      </c>
      <c r="P113" s="33">
        <f t="shared" si="79"/>
        <v>0</v>
      </c>
      <c r="Q113" s="33">
        <v>0</v>
      </c>
      <c r="R113" s="41">
        <f t="shared" si="74"/>
        <v>0</v>
      </c>
      <c r="S113" s="33"/>
      <c r="T113" s="33">
        <f>18000+379772+45247.21+33181</f>
        <v>476200.21</v>
      </c>
      <c r="U113" s="143">
        <f>U8/B8*B113</f>
        <v>749489.23819870327</v>
      </c>
      <c r="V113" s="33">
        <f t="shared" si="80"/>
        <v>2430.7700281987031</v>
      </c>
      <c r="W113" s="33">
        <f t="shared" si="75"/>
        <v>2683.6574999999998</v>
      </c>
      <c r="X113" s="33">
        <f t="shared" si="76"/>
        <v>0</v>
      </c>
      <c r="Y113" s="41">
        <f t="shared" si="76"/>
        <v>3578.21</v>
      </c>
      <c r="Z113" s="47"/>
      <c r="AA113" s="47"/>
    </row>
    <row r="114" spans="1:27" s="118" customFormat="1" ht="9.9499999999999993" customHeight="1" x14ac:dyDescent="0.15">
      <c r="A114" s="142" t="s">
        <v>81</v>
      </c>
      <c r="B114" s="125">
        <v>0.95</v>
      </c>
      <c r="C114" s="140">
        <f t="shared" si="69"/>
        <v>2254.4727646048714</v>
      </c>
      <c r="D114" s="41">
        <f t="shared" si="77"/>
        <v>2254472.7646048712</v>
      </c>
      <c r="E114" s="33">
        <v>1858909</v>
      </c>
      <c r="F114" s="41">
        <f t="shared" si="70"/>
        <v>1816.7085</v>
      </c>
      <c r="G114" s="33">
        <f>I114/2</f>
        <v>981500</v>
      </c>
      <c r="H114" s="33">
        <f t="shared" si="78"/>
        <v>1816708.5</v>
      </c>
      <c r="I114" s="33">
        <v>1963000</v>
      </c>
      <c r="J114" s="33"/>
      <c r="K114" s="41">
        <f t="shared" si="71"/>
        <v>2422.2779999999998</v>
      </c>
      <c r="L114" s="33">
        <v>2422278</v>
      </c>
      <c r="M114" s="41">
        <f t="shared" si="72"/>
        <v>0</v>
      </c>
      <c r="N114" s="33"/>
      <c r="O114" s="41">
        <f t="shared" si="73"/>
        <v>0</v>
      </c>
      <c r="P114" s="33">
        <f t="shared" si="79"/>
        <v>0</v>
      </c>
      <c r="Q114" s="33">
        <v>0</v>
      </c>
      <c r="R114" s="41">
        <f t="shared" si="74"/>
        <v>0</v>
      </c>
      <c r="S114" s="33"/>
      <c r="T114" s="33"/>
      <c r="U114" s="143">
        <f>U8/B8*B114</f>
        <v>395563.76460487116</v>
      </c>
      <c r="V114" s="33">
        <f t="shared" si="80"/>
        <v>2254.4727646048714</v>
      </c>
      <c r="W114" s="33">
        <f t="shared" si="75"/>
        <v>1816.7085</v>
      </c>
      <c r="X114" s="33">
        <f t="shared" si="76"/>
        <v>0</v>
      </c>
      <c r="Y114" s="41">
        <f t="shared" si="76"/>
        <v>2422.2779999999998</v>
      </c>
      <c r="Z114" s="47"/>
      <c r="AA114" s="47"/>
    </row>
    <row r="115" spans="1:27" s="118" customFormat="1" ht="9" customHeight="1" x14ac:dyDescent="0.15">
      <c r="A115" s="147"/>
      <c r="B115" s="130"/>
      <c r="C115" s="140"/>
      <c r="D115" s="41"/>
      <c r="E115" s="33"/>
      <c r="F115" s="41">
        <f t="shared" si="70"/>
        <v>0</v>
      </c>
      <c r="G115" s="33"/>
      <c r="H115" s="33"/>
      <c r="I115" s="33"/>
      <c r="J115" s="33"/>
      <c r="K115" s="41"/>
      <c r="L115" s="33"/>
      <c r="M115" s="41"/>
      <c r="N115" s="33"/>
      <c r="O115" s="41"/>
      <c r="P115" s="33"/>
      <c r="Q115" s="33"/>
      <c r="R115" s="41"/>
      <c r="S115" s="33"/>
      <c r="T115" s="33"/>
      <c r="U115" s="143"/>
      <c r="V115" s="33"/>
      <c r="W115" s="33"/>
      <c r="X115" s="36"/>
      <c r="Y115" s="41"/>
      <c r="Z115" s="47"/>
      <c r="AA115" s="47"/>
    </row>
    <row r="116" spans="1:27" s="42" customFormat="1" x14ac:dyDescent="0.15">
      <c r="A116" s="138" t="s">
        <v>87</v>
      </c>
      <c r="B116" s="149">
        <v>0</v>
      </c>
      <c r="C116" s="140">
        <f>D116/1000</f>
        <v>0</v>
      </c>
      <c r="D116" s="41">
        <f>D117</f>
        <v>0</v>
      </c>
      <c r="E116" s="41"/>
      <c r="F116" s="41">
        <f t="shared" si="70"/>
        <v>0</v>
      </c>
      <c r="G116" s="41">
        <f>G117</f>
        <v>0</v>
      </c>
      <c r="H116" s="41">
        <f>H117</f>
        <v>0</v>
      </c>
      <c r="I116" s="41">
        <f>I117</f>
        <v>-2600000</v>
      </c>
      <c r="J116" s="41">
        <v>0</v>
      </c>
      <c r="K116" s="41">
        <f>L116/1000</f>
        <v>0</v>
      </c>
      <c r="L116" s="148">
        <f>L117</f>
        <v>0</v>
      </c>
      <c r="M116" s="41">
        <f>N116/1000*-1</f>
        <v>-3874.373</v>
      </c>
      <c r="N116" s="41">
        <f>N117</f>
        <v>3874373</v>
      </c>
      <c r="O116" s="41">
        <f>P116/1000*-1</f>
        <v>-1950</v>
      </c>
      <c r="P116" s="41">
        <f>P117</f>
        <v>1950000</v>
      </c>
      <c r="Q116" s="41">
        <f>Q117</f>
        <v>0</v>
      </c>
      <c r="R116" s="41">
        <f>S116/1000*-1</f>
        <v>-2600</v>
      </c>
      <c r="S116" s="148">
        <f>S117</f>
        <v>2600000</v>
      </c>
      <c r="T116" s="148">
        <f>T117</f>
        <v>3874373</v>
      </c>
      <c r="U116" s="154">
        <f>U117</f>
        <v>0</v>
      </c>
      <c r="V116" s="33">
        <f>C116+M116</f>
        <v>-3874.373</v>
      </c>
      <c r="W116" s="33">
        <f>F116+O116</f>
        <v>-1950</v>
      </c>
      <c r="X116" s="33">
        <f>J116+Q116</f>
        <v>0</v>
      </c>
      <c r="Y116" s="41">
        <f>K116+R116</f>
        <v>-2600</v>
      </c>
      <c r="Z116" s="47"/>
      <c r="AA116" s="47"/>
    </row>
    <row r="117" spans="1:27" s="117" customFormat="1" ht="9.75" customHeight="1" x14ac:dyDescent="0.15">
      <c r="A117" s="142" t="s">
        <v>11</v>
      </c>
      <c r="B117" s="125">
        <v>0</v>
      </c>
      <c r="C117" s="140">
        <f>D117/1000</f>
        <v>0</v>
      </c>
      <c r="D117" s="41"/>
      <c r="E117" s="33"/>
      <c r="F117" s="41">
        <f t="shared" si="70"/>
        <v>0</v>
      </c>
      <c r="G117" s="33"/>
      <c r="H117" s="33">
        <f>L117/2</f>
        <v>0</v>
      </c>
      <c r="I117" s="33">
        <v>-2600000</v>
      </c>
      <c r="J117" s="33">
        <v>0</v>
      </c>
      <c r="K117" s="41">
        <f>L117/1000</f>
        <v>0</v>
      </c>
      <c r="L117" s="33"/>
      <c r="M117" s="41">
        <f>N117/1000*-1</f>
        <v>-3874.373</v>
      </c>
      <c r="N117" s="33">
        <f>1250+3873123</f>
        <v>3874373</v>
      </c>
      <c r="O117" s="41">
        <f>P117/1000*-1</f>
        <v>-1950</v>
      </c>
      <c r="P117" s="33">
        <f>S117*0.75</f>
        <v>1950000</v>
      </c>
      <c r="Q117" s="33"/>
      <c r="R117" s="41">
        <f>S117/1000*-1</f>
        <v>-2600</v>
      </c>
      <c r="S117" s="33">
        <v>2600000</v>
      </c>
      <c r="T117" s="33">
        <f>3873123+1250</f>
        <v>3874373</v>
      </c>
      <c r="U117" s="143"/>
      <c r="V117" s="33">
        <f>C117+M117</f>
        <v>-3874.373</v>
      </c>
      <c r="W117" s="33">
        <f>F117+O117</f>
        <v>-1950</v>
      </c>
      <c r="X117" s="33">
        <f>J117+Q117</f>
        <v>0</v>
      </c>
      <c r="Y117" s="41">
        <f>K117+R117</f>
        <v>-2600</v>
      </c>
      <c r="Z117" s="47"/>
      <c r="AA117" s="47"/>
    </row>
    <row r="118" spans="1:27" s="117" customFormat="1" ht="9" customHeight="1" x14ac:dyDescent="0.15">
      <c r="A118" s="142"/>
      <c r="B118" s="125"/>
      <c r="C118" s="140"/>
      <c r="D118" s="41"/>
      <c r="E118" s="33"/>
      <c r="F118" s="41">
        <f t="shared" si="70"/>
        <v>0</v>
      </c>
      <c r="G118" s="33"/>
      <c r="H118" s="33"/>
      <c r="I118" s="33"/>
      <c r="J118" s="33"/>
      <c r="K118" s="41"/>
      <c r="L118" s="33"/>
      <c r="M118" s="41"/>
      <c r="N118" s="33"/>
      <c r="O118" s="41"/>
      <c r="P118" s="33"/>
      <c r="Q118" s="33"/>
      <c r="R118" s="41"/>
      <c r="S118" s="33"/>
      <c r="T118" s="33"/>
      <c r="U118" s="143"/>
      <c r="V118" s="33"/>
      <c r="W118" s="33"/>
      <c r="X118" s="33"/>
      <c r="Y118" s="41"/>
      <c r="Z118" s="47"/>
      <c r="AA118" s="47"/>
    </row>
    <row r="119" spans="1:27" s="117" customFormat="1" ht="9.75" customHeight="1" x14ac:dyDescent="0.15">
      <c r="A119" s="155" t="s">
        <v>119</v>
      </c>
      <c r="B119" s="125">
        <v>0</v>
      </c>
      <c r="C119" s="140">
        <v>3</v>
      </c>
      <c r="D119" s="41"/>
      <c r="E119" s="33"/>
      <c r="F119" s="41">
        <f t="shared" si="70"/>
        <v>1950</v>
      </c>
      <c r="G119" s="33"/>
      <c r="H119" s="33">
        <f>L119*0.75</f>
        <v>1950000</v>
      </c>
      <c r="I119" s="33"/>
      <c r="J119" s="33"/>
      <c r="K119" s="41">
        <v>2600</v>
      </c>
      <c r="L119" s="33">
        <v>2600000</v>
      </c>
      <c r="M119" s="41">
        <v>0</v>
      </c>
      <c r="N119" s="33"/>
      <c r="O119" s="41">
        <v>0</v>
      </c>
      <c r="P119" s="33"/>
      <c r="Q119" s="33">
        <v>0</v>
      </c>
      <c r="R119" s="41">
        <v>0</v>
      </c>
      <c r="S119" s="33"/>
      <c r="T119" s="33"/>
      <c r="U119" s="143"/>
      <c r="V119" s="33">
        <v>3</v>
      </c>
      <c r="W119" s="33">
        <v>0</v>
      </c>
      <c r="X119" s="33">
        <f>J119+Q119</f>
        <v>0</v>
      </c>
      <c r="Y119" s="41">
        <f>K119+R119</f>
        <v>2600</v>
      </c>
      <c r="Z119" s="47"/>
      <c r="AA119" s="47"/>
    </row>
    <row r="120" spans="1:27" s="117" customFormat="1" x14ac:dyDescent="0.15">
      <c r="A120" s="142" t="s">
        <v>82</v>
      </c>
      <c r="B120" s="125">
        <v>0</v>
      </c>
      <c r="C120" s="140">
        <f>D120/1000</f>
        <v>2.9470000000000001</v>
      </c>
      <c r="D120" s="41">
        <f>E120+U120</f>
        <v>2947</v>
      </c>
      <c r="E120" s="33">
        <v>2947</v>
      </c>
      <c r="F120" s="41">
        <f t="shared" si="70"/>
        <v>0</v>
      </c>
      <c r="G120" s="33"/>
      <c r="H120" s="33">
        <f>L120/2</f>
        <v>0</v>
      </c>
      <c r="I120" s="33"/>
      <c r="J120" s="33"/>
      <c r="K120" s="41">
        <f>L120/1000</f>
        <v>0</v>
      </c>
      <c r="L120" s="33"/>
      <c r="M120" s="41">
        <f>N120/1000*-1</f>
        <v>0</v>
      </c>
      <c r="N120" s="33"/>
      <c r="O120" s="41">
        <f>P120/1000*-1</f>
        <v>0</v>
      </c>
      <c r="P120" s="33">
        <f>S120/2</f>
        <v>0</v>
      </c>
      <c r="Q120" s="33">
        <v>0</v>
      </c>
      <c r="R120" s="41">
        <f>S120/1000*-1</f>
        <v>0</v>
      </c>
      <c r="S120" s="33"/>
      <c r="T120" s="33"/>
      <c r="U120" s="143"/>
      <c r="V120" s="33">
        <f>C120+M120</f>
        <v>2.9470000000000001</v>
      </c>
      <c r="W120" s="33">
        <f>F120+O120</f>
        <v>0</v>
      </c>
      <c r="X120" s="33">
        <f>J120+Q120</f>
        <v>0</v>
      </c>
      <c r="Y120" s="41">
        <v>0</v>
      </c>
      <c r="Z120" s="47"/>
      <c r="AA120" s="47"/>
    </row>
    <row r="121" spans="1:27" s="117" customFormat="1" x14ac:dyDescent="0.15">
      <c r="A121" s="156" t="s">
        <v>95</v>
      </c>
      <c r="B121" s="157">
        <f>B10+B11+B12+B18+B21+B28+B31+B36+B42+B46+B49+B53+B67+B73+B84+B96+B97+B98+B99+B100+B103+B104+B105+B109+B110+B111+B112+B113+B116+B114+B106</f>
        <v>57.070000000000007</v>
      </c>
      <c r="C121" s="140">
        <f>D121/1000</f>
        <v>53590.987139999997</v>
      </c>
      <c r="D121" s="158">
        <f>D116+D108+D102+D95+D72+D20+D9+D120</f>
        <v>53590987.140000001</v>
      </c>
      <c r="E121" s="158">
        <f>E116+E108+E102+E95+E72+E20+E9+E120</f>
        <v>29828014.459999997</v>
      </c>
      <c r="F121" s="41">
        <f t="shared" si="70"/>
        <v>59063.994749999998</v>
      </c>
      <c r="G121" s="158">
        <f>G116+G108+G102+G95+G72+G20+G9</f>
        <v>21834426.5</v>
      </c>
      <c r="H121" s="158">
        <f>H116+H108+H102+H95+H72+H20+H9+H119</f>
        <v>59063994.75</v>
      </c>
      <c r="I121" s="158">
        <f>I116+I108+I102+I95+I72+I20+I9</f>
        <v>41910169</v>
      </c>
      <c r="J121" s="159">
        <f>J108+J102+J72+J20+J9+J119+J95</f>
        <v>0</v>
      </c>
      <c r="K121" s="41">
        <f>L121/1000</f>
        <v>78751.993000000002</v>
      </c>
      <c r="L121" s="41">
        <f>L116+L108+L102+L95+L72+L20+L9+L119</f>
        <v>78751993</v>
      </c>
      <c r="M121" s="41">
        <f>N121/1000*-1</f>
        <v>-59700.460579999999</v>
      </c>
      <c r="N121" s="158">
        <f>N116+N108+N102+N95+N72+N20</f>
        <v>59700460.579999998</v>
      </c>
      <c r="O121" s="41">
        <f>P121/1000*-1</f>
        <v>-57115.133999999998</v>
      </c>
      <c r="P121" s="160">
        <f>P116+P108+P102+P95+P72+P20+P9</f>
        <v>57115134</v>
      </c>
      <c r="Q121" s="159">
        <f>Q116+Q108+Q102+Q95+Q72+Q20+Q9</f>
        <v>0</v>
      </c>
      <c r="R121" s="41">
        <f>S121/1000*-1</f>
        <v>-76153.512000000002</v>
      </c>
      <c r="S121" s="160">
        <f>S116+S108+S102+S95+S72+S20+S9</f>
        <v>76153512</v>
      </c>
      <c r="T121" s="161">
        <f>T116+T108+T102+T95+T72+T20</f>
        <v>57729480.579999998</v>
      </c>
      <c r="U121" s="162">
        <f>U10+U11+U12+U18+U21+U28+U31+U36+U42+U46+U49+U53+U67+U73+U84+U96+U97+U98+U99+U100+U103+U104+U105+U109+U110+U111+U112+U113+U116+U114+U106</f>
        <v>23762972.679999996</v>
      </c>
      <c r="V121" s="33">
        <f>C121+M121</f>
        <v>-6109.4734400000016</v>
      </c>
      <c r="W121" s="33">
        <f>F121+O121+1</f>
        <v>1949.8607499999998</v>
      </c>
      <c r="X121" s="33">
        <f>J121+Q121</f>
        <v>0</v>
      </c>
      <c r="Y121" s="41">
        <f>K121+R121</f>
        <v>2598.4809999999998</v>
      </c>
      <c r="Z121" s="47"/>
      <c r="AA121" s="47"/>
    </row>
    <row r="122" spans="1:27" s="42" customFormat="1" x14ac:dyDescent="0.15">
      <c r="A122" s="163"/>
      <c r="B122" s="120"/>
      <c r="C122" s="121"/>
      <c r="D122" s="122"/>
      <c r="E122" s="47"/>
      <c r="F122" s="47"/>
      <c r="G122" s="47"/>
      <c r="H122" s="47"/>
      <c r="I122" s="47"/>
      <c r="J122" s="47"/>
      <c r="K122" s="47"/>
      <c r="L122" s="47"/>
      <c r="M122" s="45"/>
      <c r="N122" s="47"/>
      <c r="O122" s="47"/>
      <c r="P122" s="47"/>
      <c r="Q122" s="47"/>
      <c r="R122" s="47"/>
      <c r="S122" s="47"/>
      <c r="T122" s="47"/>
      <c r="U122" s="123"/>
      <c r="V122" s="47"/>
      <c r="W122" s="164"/>
      <c r="X122" s="37"/>
    </row>
    <row r="123" spans="1:27" s="42" customFormat="1" x14ac:dyDescent="0.15">
      <c r="A123" s="39"/>
      <c r="B123" s="120"/>
      <c r="C123" s="121"/>
      <c r="D123" s="122"/>
      <c r="E123" s="165" t="s">
        <v>128</v>
      </c>
      <c r="F123" s="47"/>
      <c r="G123" s="47"/>
      <c r="H123" s="47"/>
      <c r="I123" s="47"/>
      <c r="J123" s="47"/>
      <c r="K123" s="47"/>
      <c r="L123" s="47"/>
      <c r="M123" s="45"/>
      <c r="N123" s="47" t="s">
        <v>131</v>
      </c>
      <c r="O123" s="47"/>
      <c r="P123" s="47"/>
      <c r="Q123" s="47"/>
      <c r="R123" s="47"/>
      <c r="S123" s="47"/>
      <c r="T123" s="47"/>
      <c r="U123" s="123"/>
      <c r="V123" s="47"/>
      <c r="W123" s="164"/>
      <c r="X123" s="37"/>
    </row>
    <row r="124" spans="1:27" x14ac:dyDescent="0.15">
      <c r="B124" s="166"/>
      <c r="C124" s="167"/>
      <c r="D124" s="167">
        <f t="shared" ref="D124:L124" si="81">N122-D122</f>
        <v>0</v>
      </c>
      <c r="E124" s="167">
        <f t="shared" si="81"/>
        <v>0</v>
      </c>
      <c r="F124" s="167">
        <f t="shared" si="81"/>
        <v>0</v>
      </c>
      <c r="G124" s="167">
        <f t="shared" si="81"/>
        <v>0</v>
      </c>
      <c r="H124" s="167">
        <f t="shared" si="81"/>
        <v>0</v>
      </c>
      <c r="I124" s="167">
        <f t="shared" si="81"/>
        <v>0</v>
      </c>
      <c r="J124" s="167">
        <f t="shared" si="81"/>
        <v>0</v>
      </c>
      <c r="K124" s="167">
        <f t="shared" si="81"/>
        <v>0</v>
      </c>
      <c r="L124" s="167">
        <f t="shared" si="81"/>
        <v>0</v>
      </c>
      <c r="M124" s="167"/>
    </row>
    <row r="125" spans="1:27" s="42" customFormat="1" x14ac:dyDescent="0.15">
      <c r="A125" s="39"/>
      <c r="B125" s="166"/>
      <c r="C125" s="167"/>
      <c r="D125" s="122"/>
      <c r="E125" s="47"/>
      <c r="F125" s="47"/>
      <c r="G125" s="47"/>
      <c r="H125" s="47"/>
      <c r="I125" s="47"/>
      <c r="J125" s="47"/>
      <c r="K125" s="47"/>
      <c r="L125" s="47"/>
      <c r="M125" s="45"/>
      <c r="N125" s="47"/>
      <c r="O125" s="47"/>
      <c r="P125" s="47"/>
      <c r="Q125" s="47"/>
      <c r="R125" s="47"/>
      <c r="S125" s="47"/>
      <c r="T125" s="47"/>
      <c r="U125" s="123"/>
      <c r="V125" s="47"/>
      <c r="W125" s="164"/>
      <c r="X125" s="37"/>
    </row>
    <row r="126" spans="1:27" x14ac:dyDescent="0.15">
      <c r="M126" s="46"/>
    </row>
  </sheetData>
  <mergeCells count="4">
    <mergeCell ref="C6:K6"/>
    <mergeCell ref="M6:R6"/>
    <mergeCell ref="A4:W4"/>
    <mergeCell ref="V6:Y6"/>
  </mergeCells>
  <phoneticPr fontId="2" type="noConversion"/>
  <pageMargins left="0.94488188976377963" right="0.55118110236220474" top="0.27559055118110237" bottom="0.19685039370078741" header="0.31496062992125984" footer="0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126"/>
  <sheetViews>
    <sheetView workbookViewId="0"/>
  </sheetViews>
  <sheetFormatPr defaultRowHeight="10.5" x14ac:dyDescent="0.15"/>
  <cols>
    <col min="1" max="1" width="26.5703125" style="39" customWidth="1"/>
    <col min="2" max="2" width="6.85546875" style="120" customWidth="1"/>
    <col min="3" max="3" width="8.85546875" style="121" customWidth="1"/>
    <col min="4" max="4" width="10.85546875" style="122" hidden="1" customWidth="1"/>
    <col min="5" max="5" width="15.140625" style="47" hidden="1" customWidth="1"/>
    <col min="6" max="6" width="7.7109375" style="47" customWidth="1"/>
    <col min="7" max="7" width="8.7109375" style="47" hidden="1" customWidth="1"/>
    <col min="8" max="8" width="14" style="47" hidden="1" customWidth="1"/>
    <col min="9" max="9" width="12.140625" style="47" hidden="1" customWidth="1"/>
    <col min="10" max="10" width="6.42578125" style="47" customWidth="1"/>
    <col min="11" max="11" width="7" style="47" customWidth="1"/>
    <col min="12" max="12" width="16" style="47" hidden="1" customWidth="1"/>
    <col min="13" max="13" width="7.7109375" style="47" customWidth="1"/>
    <col min="14" max="14" width="10.140625" style="47" hidden="1" customWidth="1"/>
    <col min="15" max="15" width="7.85546875" style="47" customWidth="1"/>
    <col min="16" max="16" width="11.28515625" style="47" hidden="1" customWidth="1"/>
    <col min="17" max="17" width="7.7109375" style="47" customWidth="1"/>
    <col min="18" max="18" width="7.140625" style="47" customWidth="1"/>
    <col min="19" max="19" width="14.140625" style="47" hidden="1" customWidth="1"/>
    <col min="20" max="20" width="20.7109375" style="47" hidden="1" customWidth="1"/>
    <col min="21" max="21" width="16.7109375" style="123" hidden="1" customWidth="1"/>
    <col min="22" max="22" width="9" style="47" customWidth="1"/>
    <col min="23" max="23" width="8.7109375" style="47" customWidth="1"/>
    <col min="24" max="24" width="7.7109375" style="38" customWidth="1"/>
    <col min="25" max="25" width="7.7109375" style="39" customWidth="1"/>
    <col min="26" max="26" width="11.85546875" style="39" bestFit="1" customWidth="1"/>
    <col min="27" max="16384" width="9.140625" style="39"/>
  </cols>
  <sheetData>
    <row r="3" spans="1:27" x14ac:dyDescent="0.15">
      <c r="U3" s="123">
        <f>U10+U11+U13+U14+U15+U16+U18+U17+U22+U23+U24+U25+U26++U29+U30+U32+U33+U34+U35+U37+U38+U39+U40+U41+U43+U44+U45+U47+U48+U50+U51+U55+U54+U56+U57+U61+U63+U65+U66+U69+U68+U70+U76+U74+U77+U78+U79+U80+U81+U83+U85+U86+U87+U89+U88+U90+U91+U92+U93+U96+U97+U98+U99+U101+U100+U103+U104+U105+U106+U109+U110+U111+U112+U113+U124</f>
        <v>23117579.169328898</v>
      </c>
    </row>
    <row r="4" spans="1:27" x14ac:dyDescent="0.15">
      <c r="A4" s="437" t="s">
        <v>126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34"/>
    </row>
    <row r="6" spans="1:27" x14ac:dyDescent="0.15">
      <c r="A6" s="124" t="s">
        <v>114</v>
      </c>
      <c r="B6" s="125"/>
      <c r="C6" s="431" t="s">
        <v>111</v>
      </c>
      <c r="D6" s="432"/>
      <c r="E6" s="432"/>
      <c r="F6" s="432"/>
      <c r="G6" s="432"/>
      <c r="H6" s="432"/>
      <c r="I6" s="432"/>
      <c r="J6" s="432"/>
      <c r="K6" s="433"/>
      <c r="L6" s="33" t="s">
        <v>42</v>
      </c>
      <c r="M6" s="434" t="s">
        <v>112</v>
      </c>
      <c r="N6" s="435"/>
      <c r="O6" s="435"/>
      <c r="P6" s="435"/>
      <c r="Q6" s="435"/>
      <c r="R6" s="436"/>
      <c r="S6" s="127" t="s">
        <v>43</v>
      </c>
      <c r="T6" s="127" t="s">
        <v>127</v>
      </c>
      <c r="U6" s="128" t="s">
        <v>39</v>
      </c>
      <c r="V6" s="438" t="s">
        <v>113</v>
      </c>
      <c r="W6" s="439"/>
      <c r="X6" s="439"/>
      <c r="Y6" s="440"/>
    </row>
    <row r="7" spans="1:27" x14ac:dyDescent="0.15">
      <c r="A7" s="129" t="s">
        <v>96</v>
      </c>
      <c r="B7" s="130" t="s">
        <v>36</v>
      </c>
      <c r="C7" s="130" t="s">
        <v>122</v>
      </c>
      <c r="D7" s="131"/>
      <c r="E7" s="44" t="s">
        <v>121</v>
      </c>
      <c r="F7" s="40" t="s">
        <v>133</v>
      </c>
      <c r="G7" s="44"/>
      <c r="H7" s="44"/>
      <c r="I7" s="44" t="s">
        <v>123</v>
      </c>
      <c r="J7" s="44" t="s">
        <v>115</v>
      </c>
      <c r="K7" s="40" t="s">
        <v>90</v>
      </c>
      <c r="L7" s="44" t="s">
        <v>120</v>
      </c>
      <c r="M7" s="44" t="s">
        <v>125</v>
      </c>
      <c r="N7" s="44"/>
      <c r="O7" s="44" t="s">
        <v>132</v>
      </c>
      <c r="P7" s="44" t="s">
        <v>89</v>
      </c>
      <c r="Q7" s="44" t="s">
        <v>115</v>
      </c>
      <c r="R7" s="40" t="s">
        <v>90</v>
      </c>
      <c r="S7" s="44"/>
      <c r="T7" s="44"/>
      <c r="U7" s="132"/>
      <c r="V7" s="40" t="s">
        <v>134</v>
      </c>
      <c r="W7" s="40" t="s">
        <v>135</v>
      </c>
      <c r="X7" s="35" t="s">
        <v>115</v>
      </c>
      <c r="Y7" s="40" t="s">
        <v>90</v>
      </c>
    </row>
    <row r="8" spans="1:27" ht="9" customHeight="1" x14ac:dyDescent="0.15">
      <c r="A8" s="133"/>
      <c r="B8" s="134">
        <f>B121</f>
        <v>57.070000000000007</v>
      </c>
      <c r="C8" s="135"/>
      <c r="D8" s="136" t="s">
        <v>41</v>
      </c>
      <c r="E8" s="137" t="s">
        <v>40</v>
      </c>
      <c r="F8" s="13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48"/>
      <c r="T8" s="48"/>
      <c r="U8" s="128">
        <v>23762972.68</v>
      </c>
      <c r="V8" s="48"/>
      <c r="W8" s="48"/>
      <c r="X8" s="36"/>
      <c r="Y8" s="36"/>
    </row>
    <row r="9" spans="1:27" s="175" customFormat="1" ht="10.5" customHeight="1" x14ac:dyDescent="0.15">
      <c r="A9" s="168" t="s">
        <v>49</v>
      </c>
      <c r="B9" s="169">
        <f>B10+B11+B12+B18</f>
        <v>11.290000000000001</v>
      </c>
      <c r="C9" s="170">
        <f t="shared" ref="C9:C18" si="0">D9/1000</f>
        <v>5008.4700051463105</v>
      </c>
      <c r="D9" s="171">
        <f>D10+D11+D12+D18</f>
        <v>5008470.0051463107</v>
      </c>
      <c r="E9" s="171">
        <f>E10+E11+E12+E18</f>
        <v>307506.95</v>
      </c>
      <c r="F9" s="171">
        <f t="shared" ref="F9:F18" si="1">H9/1000</f>
        <v>4462.9139999999998</v>
      </c>
      <c r="G9" s="171">
        <f>G10+G11+G12+G18</f>
        <v>246200</v>
      </c>
      <c r="H9" s="171">
        <f>H10+H11+H12+H18</f>
        <v>4462914</v>
      </c>
      <c r="I9" s="171">
        <f>I10+I11+I12+I18</f>
        <v>492400</v>
      </c>
      <c r="J9" s="171">
        <f>J10+J11+J12+J18</f>
        <v>7000</v>
      </c>
      <c r="K9" s="171">
        <f t="shared" ref="K9:K18" si="2">L9/1000</f>
        <v>5950.5519999999997</v>
      </c>
      <c r="L9" s="171">
        <f>L10+L11+L12+L18</f>
        <v>5950552</v>
      </c>
      <c r="M9" s="171">
        <f t="shared" ref="M9:M18" si="3">N9/1000*-1</f>
        <v>0</v>
      </c>
      <c r="N9" s="171">
        <f>N10+N11+N12+N18</f>
        <v>0</v>
      </c>
      <c r="O9" s="171">
        <f t="shared" ref="O9:O18" si="4">P9/1000*-1</f>
        <v>0</v>
      </c>
      <c r="P9" s="171">
        <f>P10+P11+P12+P18</f>
        <v>0</v>
      </c>
      <c r="Q9" s="171">
        <v>0</v>
      </c>
      <c r="R9" s="171">
        <f t="shared" ref="R9:R18" si="5">S9/1000*-1</f>
        <v>0</v>
      </c>
      <c r="S9" s="171">
        <f>S10+S11+S12+S18</f>
        <v>0</v>
      </c>
      <c r="T9" s="171">
        <f>T10+T11+T12+T18</f>
        <v>0</v>
      </c>
      <c r="U9" s="172">
        <f>U10+U11+U12+U18</f>
        <v>4700963.0551463105</v>
      </c>
      <c r="V9" s="173">
        <f t="shared" ref="V9:V18" si="6">C9+M9</f>
        <v>5008.4700051463105</v>
      </c>
      <c r="W9" s="173">
        <f t="shared" ref="W9:W18" si="7">F9+O9</f>
        <v>4462.9139999999998</v>
      </c>
      <c r="X9" s="173">
        <f t="shared" ref="X9:X18" si="8">J9+Q9</f>
        <v>7000</v>
      </c>
      <c r="Y9" s="171">
        <f t="shared" ref="Y9:Y18" si="9">K9+R9</f>
        <v>5950.5519999999997</v>
      </c>
      <c r="Z9" s="174"/>
      <c r="AA9" s="174"/>
    </row>
    <row r="10" spans="1:27" ht="9.9499999999999993" customHeight="1" x14ac:dyDescent="0.15">
      <c r="A10" s="142" t="s">
        <v>50</v>
      </c>
      <c r="B10" s="125">
        <v>5.18</v>
      </c>
      <c r="C10" s="140">
        <f t="shared" si="0"/>
        <v>2287.1714743718235</v>
      </c>
      <c r="D10" s="41">
        <f t="shared" ref="D10:D18" si="10">E10+U10</f>
        <v>2287171.4743718235</v>
      </c>
      <c r="E10" s="33">
        <v>130308</v>
      </c>
      <c r="F10" s="41">
        <f t="shared" si="1"/>
        <v>2013.20325</v>
      </c>
      <c r="G10" s="33">
        <f t="shared" ref="G10:G18" si="11">I10/2</f>
        <v>90000</v>
      </c>
      <c r="H10" s="33">
        <f>L10*0.75</f>
        <v>2013203.25</v>
      </c>
      <c r="I10" s="33">
        <v>180000</v>
      </c>
      <c r="J10" s="33">
        <v>3000</v>
      </c>
      <c r="K10" s="41">
        <f t="shared" si="2"/>
        <v>2684.2710000000002</v>
      </c>
      <c r="L10" s="33">
        <v>2684271</v>
      </c>
      <c r="M10" s="41">
        <f t="shared" si="3"/>
        <v>0</v>
      </c>
      <c r="N10" s="33"/>
      <c r="O10" s="41">
        <f t="shared" si="4"/>
        <v>0</v>
      </c>
      <c r="P10" s="33">
        <f t="shared" ref="P10:P18" si="12">S10/2</f>
        <v>0</v>
      </c>
      <c r="Q10" s="33">
        <v>0</v>
      </c>
      <c r="R10" s="41">
        <f t="shared" si="5"/>
        <v>0</v>
      </c>
      <c r="S10" s="33"/>
      <c r="T10" s="33"/>
      <c r="U10" s="143">
        <f>U8/B8*B10</f>
        <v>2156863.4743718235</v>
      </c>
      <c r="V10" s="33">
        <f t="shared" si="6"/>
        <v>2287.1714743718235</v>
      </c>
      <c r="W10" s="33">
        <f t="shared" si="7"/>
        <v>2013.20325</v>
      </c>
      <c r="X10" s="33">
        <f t="shared" si="8"/>
        <v>3000</v>
      </c>
      <c r="Y10" s="41">
        <f t="shared" si="9"/>
        <v>2684.2710000000002</v>
      </c>
      <c r="Z10" s="47"/>
      <c r="AA10" s="47"/>
    </row>
    <row r="11" spans="1:27" ht="9.9499999999999993" customHeight="1" x14ac:dyDescent="0.15">
      <c r="A11" s="142" t="s">
        <v>57</v>
      </c>
      <c r="B11" s="125">
        <v>3.21</v>
      </c>
      <c r="C11" s="140">
        <f t="shared" si="0"/>
        <v>1421.3741414543542</v>
      </c>
      <c r="D11" s="41">
        <f t="shared" si="10"/>
        <v>1421374.1414543542</v>
      </c>
      <c r="E11" s="33">
        <v>84785</v>
      </c>
      <c r="F11" s="41">
        <f t="shared" si="1"/>
        <v>1231.40625</v>
      </c>
      <c r="G11" s="33">
        <f t="shared" si="11"/>
        <v>45000</v>
      </c>
      <c r="H11" s="33">
        <f>L11*0.75</f>
        <v>1231406.25</v>
      </c>
      <c r="I11" s="33">
        <v>90000</v>
      </c>
      <c r="J11" s="33">
        <v>2200</v>
      </c>
      <c r="K11" s="41">
        <f t="shared" si="2"/>
        <v>1641.875</v>
      </c>
      <c r="L11" s="33">
        <v>1641875</v>
      </c>
      <c r="M11" s="41">
        <f t="shared" si="3"/>
        <v>0</v>
      </c>
      <c r="N11" s="33"/>
      <c r="O11" s="41">
        <f t="shared" si="4"/>
        <v>0</v>
      </c>
      <c r="P11" s="33">
        <f t="shared" si="12"/>
        <v>0</v>
      </c>
      <c r="Q11" s="33">
        <v>0</v>
      </c>
      <c r="R11" s="41">
        <f t="shared" si="5"/>
        <v>0</v>
      </c>
      <c r="S11" s="33"/>
      <c r="T11" s="33"/>
      <c r="U11" s="143">
        <f>U8/B8*B11</f>
        <v>1336589.1414543542</v>
      </c>
      <c r="V11" s="33">
        <f t="shared" si="6"/>
        <v>1421.3741414543542</v>
      </c>
      <c r="W11" s="33">
        <f t="shared" si="7"/>
        <v>1231.40625</v>
      </c>
      <c r="X11" s="33">
        <f t="shared" si="8"/>
        <v>2200</v>
      </c>
      <c r="Y11" s="41">
        <f t="shared" si="9"/>
        <v>1641.875</v>
      </c>
      <c r="Z11" s="47"/>
      <c r="AA11" s="47"/>
    </row>
    <row r="12" spans="1:27" ht="9.9499999999999993" customHeight="1" x14ac:dyDescent="0.15">
      <c r="A12" s="142" t="s">
        <v>51</v>
      </c>
      <c r="B12" s="125">
        <v>2.8</v>
      </c>
      <c r="C12" s="140">
        <f t="shared" si="0"/>
        <v>1191.8120983090939</v>
      </c>
      <c r="D12" s="41">
        <f t="shared" si="10"/>
        <v>1191812.0983090939</v>
      </c>
      <c r="E12" s="33">
        <f>SUM(E13:E17)</f>
        <v>25939.95</v>
      </c>
      <c r="F12" s="41">
        <f t="shared" si="1"/>
        <v>1182.04575</v>
      </c>
      <c r="G12" s="33">
        <f t="shared" si="11"/>
        <v>111200</v>
      </c>
      <c r="H12" s="33">
        <f>H13+H14+H15+H16+H17</f>
        <v>1182045.75</v>
      </c>
      <c r="I12" s="33">
        <v>222400</v>
      </c>
      <c r="J12" s="33">
        <f>J13+J14+J15+J16+J17</f>
        <v>1670</v>
      </c>
      <c r="K12" s="41">
        <f t="shared" si="2"/>
        <v>1576.0609999999999</v>
      </c>
      <c r="L12" s="33">
        <f>L13+L14+L15+L16+L17</f>
        <v>1576061</v>
      </c>
      <c r="M12" s="41">
        <f t="shared" si="3"/>
        <v>0</v>
      </c>
      <c r="N12" s="33">
        <f>N13+N14+N15+N16+N17</f>
        <v>0</v>
      </c>
      <c r="O12" s="41">
        <f t="shared" si="4"/>
        <v>0</v>
      </c>
      <c r="P12" s="33">
        <f t="shared" si="12"/>
        <v>0</v>
      </c>
      <c r="Q12" s="33">
        <v>0</v>
      </c>
      <c r="R12" s="41">
        <f t="shared" si="5"/>
        <v>0</v>
      </c>
      <c r="S12" s="33"/>
      <c r="T12" s="33"/>
      <c r="U12" s="143">
        <f>U8/B8*B12</f>
        <v>1165872.1483090939</v>
      </c>
      <c r="V12" s="33">
        <f t="shared" si="6"/>
        <v>1191.8120983090939</v>
      </c>
      <c r="W12" s="33">
        <f t="shared" si="7"/>
        <v>1182.04575</v>
      </c>
      <c r="X12" s="33">
        <f t="shared" si="8"/>
        <v>1670</v>
      </c>
      <c r="Y12" s="41">
        <f t="shared" si="9"/>
        <v>1576.0609999999999</v>
      </c>
      <c r="Z12" s="47"/>
      <c r="AA12" s="47"/>
    </row>
    <row r="13" spans="1:27" ht="9.9499999999999993" customHeight="1" x14ac:dyDescent="0.15">
      <c r="A13" s="144" t="s">
        <v>52</v>
      </c>
      <c r="B13" s="134">
        <v>1</v>
      </c>
      <c r="C13" s="145">
        <f t="shared" si="0"/>
        <v>417.12186011039068</v>
      </c>
      <c r="D13" s="43">
        <f t="shared" si="10"/>
        <v>417121.8601103907</v>
      </c>
      <c r="E13" s="36">
        <f>438.9+300.05</f>
        <v>738.95</v>
      </c>
      <c r="F13" s="43">
        <f t="shared" si="1"/>
        <v>362.58749999999998</v>
      </c>
      <c r="G13" s="36">
        <f t="shared" si="11"/>
        <v>0</v>
      </c>
      <c r="H13" s="36">
        <f t="shared" ref="H13:H18" si="13">L13*0.75</f>
        <v>362587.5</v>
      </c>
      <c r="I13" s="36"/>
      <c r="J13" s="36">
        <v>540</v>
      </c>
      <c r="K13" s="43">
        <f t="shared" si="2"/>
        <v>483.45</v>
      </c>
      <c r="L13" s="36">
        <v>483450</v>
      </c>
      <c r="M13" s="43">
        <f t="shared" si="3"/>
        <v>0</v>
      </c>
      <c r="N13" s="36"/>
      <c r="O13" s="43">
        <f t="shared" si="4"/>
        <v>0</v>
      </c>
      <c r="P13" s="36">
        <f t="shared" si="12"/>
        <v>0</v>
      </c>
      <c r="Q13" s="36">
        <v>0</v>
      </c>
      <c r="R13" s="43">
        <f t="shared" si="5"/>
        <v>0</v>
      </c>
      <c r="S13" s="36"/>
      <c r="T13" s="36"/>
      <c r="U13" s="146">
        <f>U8/B8*B13</f>
        <v>416382.91011039069</v>
      </c>
      <c r="V13" s="36">
        <f t="shared" si="6"/>
        <v>417.12186011039068</v>
      </c>
      <c r="W13" s="36">
        <f t="shared" si="7"/>
        <v>362.58749999999998</v>
      </c>
      <c r="X13" s="36">
        <f t="shared" si="8"/>
        <v>540</v>
      </c>
      <c r="Y13" s="43">
        <f t="shared" si="9"/>
        <v>483.45</v>
      </c>
      <c r="Z13" s="47"/>
      <c r="AA13" s="47"/>
    </row>
    <row r="14" spans="1:27" ht="9.9499999999999993" customHeight="1" x14ac:dyDescent="0.15">
      <c r="A14" s="144" t="s">
        <v>44</v>
      </c>
      <c r="B14" s="134">
        <v>0.65</v>
      </c>
      <c r="C14" s="145">
        <f t="shared" si="0"/>
        <v>273.16189157175393</v>
      </c>
      <c r="D14" s="43">
        <f t="shared" si="10"/>
        <v>273161.89157175395</v>
      </c>
      <c r="E14" s="36">
        <f>1592.5+920.5</f>
        <v>2513</v>
      </c>
      <c r="F14" s="43">
        <f t="shared" si="1"/>
        <v>244.98224999999999</v>
      </c>
      <c r="G14" s="36">
        <f t="shared" si="11"/>
        <v>6200</v>
      </c>
      <c r="H14" s="36">
        <f t="shared" si="13"/>
        <v>244982.25</v>
      </c>
      <c r="I14" s="36">
        <v>12400</v>
      </c>
      <c r="J14" s="36">
        <v>360</v>
      </c>
      <c r="K14" s="43">
        <f t="shared" si="2"/>
        <v>326.64299999999997</v>
      </c>
      <c r="L14" s="36">
        <v>326643</v>
      </c>
      <c r="M14" s="43">
        <f t="shared" si="3"/>
        <v>0</v>
      </c>
      <c r="N14" s="36"/>
      <c r="O14" s="43">
        <f t="shared" si="4"/>
        <v>0</v>
      </c>
      <c r="P14" s="36">
        <f t="shared" si="12"/>
        <v>0</v>
      </c>
      <c r="Q14" s="36">
        <v>0</v>
      </c>
      <c r="R14" s="43">
        <f t="shared" si="5"/>
        <v>0</v>
      </c>
      <c r="S14" s="36"/>
      <c r="T14" s="36"/>
      <c r="U14" s="146">
        <f>U8/B8*B14</f>
        <v>270648.89157175395</v>
      </c>
      <c r="V14" s="36">
        <f t="shared" si="6"/>
        <v>273.16189157175393</v>
      </c>
      <c r="W14" s="36">
        <f t="shared" si="7"/>
        <v>244.98224999999999</v>
      </c>
      <c r="X14" s="36">
        <f t="shared" si="8"/>
        <v>360</v>
      </c>
      <c r="Y14" s="43">
        <f t="shared" si="9"/>
        <v>326.64299999999997</v>
      </c>
      <c r="Z14" s="47"/>
      <c r="AA14" s="47"/>
    </row>
    <row r="15" spans="1:27" ht="9.9499999999999993" customHeight="1" x14ac:dyDescent="0.15">
      <c r="A15" s="144" t="s">
        <v>5</v>
      </c>
      <c r="B15" s="134">
        <v>0.4</v>
      </c>
      <c r="C15" s="145">
        <f t="shared" si="0"/>
        <v>167.23816404415629</v>
      </c>
      <c r="D15" s="43">
        <f t="shared" si="10"/>
        <v>167238.16404415629</v>
      </c>
      <c r="E15" s="36">
        <v>685</v>
      </c>
      <c r="F15" s="43">
        <f t="shared" si="1"/>
        <v>231.285</v>
      </c>
      <c r="G15" s="36">
        <f t="shared" si="11"/>
        <v>57500</v>
      </c>
      <c r="H15" s="36">
        <f t="shared" si="13"/>
        <v>231285</v>
      </c>
      <c r="I15" s="36">
        <v>115000</v>
      </c>
      <c r="J15" s="36">
        <v>250</v>
      </c>
      <c r="K15" s="43">
        <f t="shared" si="2"/>
        <v>308.38</v>
      </c>
      <c r="L15" s="36">
        <v>308380</v>
      </c>
      <c r="M15" s="43">
        <f t="shared" si="3"/>
        <v>0</v>
      </c>
      <c r="N15" s="36"/>
      <c r="O15" s="43">
        <f t="shared" si="4"/>
        <v>0</v>
      </c>
      <c r="P15" s="36">
        <f t="shared" si="12"/>
        <v>0</v>
      </c>
      <c r="Q15" s="36">
        <v>0</v>
      </c>
      <c r="R15" s="43">
        <f t="shared" si="5"/>
        <v>0</v>
      </c>
      <c r="S15" s="36"/>
      <c r="T15" s="36"/>
      <c r="U15" s="146">
        <f>U8/B8*B15</f>
        <v>166553.16404415629</v>
      </c>
      <c r="V15" s="36">
        <f t="shared" si="6"/>
        <v>167.23816404415629</v>
      </c>
      <c r="W15" s="36">
        <f t="shared" si="7"/>
        <v>231.285</v>
      </c>
      <c r="X15" s="36">
        <f t="shared" si="8"/>
        <v>250</v>
      </c>
      <c r="Y15" s="43">
        <f t="shared" si="9"/>
        <v>308.38</v>
      </c>
      <c r="Z15" s="47"/>
      <c r="AA15" s="47"/>
    </row>
    <row r="16" spans="1:27" ht="9.9499999999999993" customHeight="1" x14ac:dyDescent="0.15">
      <c r="A16" s="144" t="s">
        <v>45</v>
      </c>
      <c r="B16" s="134">
        <v>0.4</v>
      </c>
      <c r="C16" s="145">
        <f t="shared" si="0"/>
        <v>167.73116404415629</v>
      </c>
      <c r="D16" s="43">
        <f t="shared" si="10"/>
        <v>167731.16404415629</v>
      </c>
      <c r="E16" s="36">
        <v>1178</v>
      </c>
      <c r="F16" s="43">
        <f t="shared" si="1"/>
        <v>216.285</v>
      </c>
      <c r="G16" s="36">
        <f t="shared" si="11"/>
        <v>47500</v>
      </c>
      <c r="H16" s="36">
        <f t="shared" si="13"/>
        <v>216285</v>
      </c>
      <c r="I16" s="36">
        <v>95000</v>
      </c>
      <c r="J16" s="36">
        <v>300</v>
      </c>
      <c r="K16" s="43">
        <f t="shared" si="2"/>
        <v>288.38</v>
      </c>
      <c r="L16" s="36">
        <v>288380</v>
      </c>
      <c r="M16" s="43">
        <f t="shared" si="3"/>
        <v>0</v>
      </c>
      <c r="N16" s="36"/>
      <c r="O16" s="43">
        <f t="shared" si="4"/>
        <v>0</v>
      </c>
      <c r="P16" s="36">
        <f t="shared" si="12"/>
        <v>0</v>
      </c>
      <c r="Q16" s="36">
        <v>0</v>
      </c>
      <c r="R16" s="43">
        <f t="shared" si="5"/>
        <v>0</v>
      </c>
      <c r="S16" s="36"/>
      <c r="T16" s="36"/>
      <c r="U16" s="146">
        <f>U8/B8*B16</f>
        <v>166553.16404415629</v>
      </c>
      <c r="V16" s="36">
        <f t="shared" si="6"/>
        <v>167.73116404415629</v>
      </c>
      <c r="W16" s="36">
        <f t="shared" si="7"/>
        <v>216.285</v>
      </c>
      <c r="X16" s="36">
        <f t="shared" si="8"/>
        <v>300</v>
      </c>
      <c r="Y16" s="43">
        <f t="shared" si="9"/>
        <v>288.38</v>
      </c>
      <c r="Z16" s="47"/>
      <c r="AA16" s="47"/>
    </row>
    <row r="17" spans="1:38" ht="9.9499999999999993" customHeight="1" x14ac:dyDescent="0.15">
      <c r="A17" s="144" t="s">
        <v>46</v>
      </c>
      <c r="B17" s="134">
        <v>0.35</v>
      </c>
      <c r="C17" s="145">
        <f t="shared" si="0"/>
        <v>166.55901853863674</v>
      </c>
      <c r="D17" s="43">
        <f t="shared" si="10"/>
        <v>166559.01853863674</v>
      </c>
      <c r="E17" s="36">
        <v>20825</v>
      </c>
      <c r="F17" s="43">
        <f t="shared" si="1"/>
        <v>126.90600000000001</v>
      </c>
      <c r="G17" s="36">
        <f t="shared" si="11"/>
        <v>0</v>
      </c>
      <c r="H17" s="36">
        <f t="shared" si="13"/>
        <v>126906</v>
      </c>
      <c r="I17" s="36">
        <v>0</v>
      </c>
      <c r="J17" s="36">
        <v>220</v>
      </c>
      <c r="K17" s="43">
        <f t="shared" si="2"/>
        <v>169.208</v>
      </c>
      <c r="L17" s="36">
        <v>169208</v>
      </c>
      <c r="M17" s="43">
        <f t="shared" si="3"/>
        <v>0</v>
      </c>
      <c r="N17" s="36"/>
      <c r="O17" s="43">
        <f t="shared" si="4"/>
        <v>0</v>
      </c>
      <c r="P17" s="36">
        <f t="shared" si="12"/>
        <v>0</v>
      </c>
      <c r="Q17" s="36">
        <v>0</v>
      </c>
      <c r="R17" s="43">
        <f t="shared" si="5"/>
        <v>0</v>
      </c>
      <c r="S17" s="36"/>
      <c r="T17" s="36"/>
      <c r="U17" s="146">
        <f>U8/B8*B17</f>
        <v>145734.01853863674</v>
      </c>
      <c r="V17" s="36">
        <f t="shared" si="6"/>
        <v>166.55901853863674</v>
      </c>
      <c r="W17" s="36">
        <f t="shared" si="7"/>
        <v>126.90600000000001</v>
      </c>
      <c r="X17" s="36">
        <f t="shared" si="8"/>
        <v>220</v>
      </c>
      <c r="Y17" s="43">
        <f t="shared" si="9"/>
        <v>169.208</v>
      </c>
      <c r="Z17" s="47"/>
      <c r="AA17" s="47"/>
    </row>
    <row r="18" spans="1:38" s="42" customFormat="1" ht="9.9499999999999993" customHeight="1" x14ac:dyDescent="0.15">
      <c r="A18" s="142" t="s">
        <v>58</v>
      </c>
      <c r="B18" s="125">
        <v>0.1</v>
      </c>
      <c r="C18" s="140">
        <f t="shared" si="0"/>
        <v>108.11229101103908</v>
      </c>
      <c r="D18" s="41">
        <f t="shared" si="10"/>
        <v>108112.29101103908</v>
      </c>
      <c r="E18" s="33">
        <f>44726+21748</f>
        <v>66474</v>
      </c>
      <c r="F18" s="41">
        <f t="shared" si="1"/>
        <v>36.258749999999999</v>
      </c>
      <c r="G18" s="33">
        <f t="shared" si="11"/>
        <v>0</v>
      </c>
      <c r="H18" s="33">
        <f t="shared" si="13"/>
        <v>36258.75</v>
      </c>
      <c r="I18" s="33">
        <v>0</v>
      </c>
      <c r="J18" s="33">
        <v>130</v>
      </c>
      <c r="K18" s="41">
        <f t="shared" si="2"/>
        <v>48.344999999999999</v>
      </c>
      <c r="L18" s="33">
        <v>48345</v>
      </c>
      <c r="M18" s="41">
        <f t="shared" si="3"/>
        <v>0</v>
      </c>
      <c r="N18" s="33"/>
      <c r="O18" s="41">
        <f t="shared" si="4"/>
        <v>0</v>
      </c>
      <c r="P18" s="33">
        <f t="shared" si="12"/>
        <v>0</v>
      </c>
      <c r="Q18" s="33">
        <v>0</v>
      </c>
      <c r="R18" s="41">
        <f t="shared" si="5"/>
        <v>0</v>
      </c>
      <c r="S18" s="33"/>
      <c r="T18" s="33"/>
      <c r="U18" s="143">
        <f>U8/B8*B18</f>
        <v>41638.291011039073</v>
      </c>
      <c r="V18" s="33">
        <f t="shared" si="6"/>
        <v>108.11229101103908</v>
      </c>
      <c r="W18" s="33">
        <f t="shared" si="7"/>
        <v>36.258749999999999</v>
      </c>
      <c r="X18" s="33">
        <f t="shared" si="8"/>
        <v>130</v>
      </c>
      <c r="Y18" s="41">
        <f t="shared" si="9"/>
        <v>48.344999999999999</v>
      </c>
      <c r="Z18" s="47"/>
      <c r="AA18" s="47"/>
    </row>
    <row r="19" spans="1:38" ht="9" customHeight="1" x14ac:dyDescent="0.15">
      <c r="A19" s="147"/>
      <c r="B19" s="125"/>
      <c r="C19" s="140"/>
      <c r="D19" s="41"/>
      <c r="E19" s="33"/>
      <c r="F19" s="41"/>
      <c r="G19" s="33"/>
      <c r="H19" s="33"/>
      <c r="I19" s="33"/>
      <c r="J19" s="33"/>
      <c r="K19" s="41"/>
      <c r="L19" s="33"/>
      <c r="M19" s="43"/>
      <c r="N19" s="36"/>
      <c r="O19" s="43"/>
      <c r="P19" s="36"/>
      <c r="Q19" s="36"/>
      <c r="R19" s="43"/>
      <c r="S19" s="33"/>
      <c r="T19" s="33"/>
      <c r="U19" s="146"/>
      <c r="V19" s="36"/>
      <c r="W19" s="36"/>
      <c r="X19" s="36"/>
      <c r="Y19" s="41"/>
      <c r="Z19" s="47"/>
      <c r="AA19" s="47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</row>
    <row r="20" spans="1:38" s="179" customFormat="1" x14ac:dyDescent="0.15">
      <c r="A20" s="168" t="s">
        <v>48</v>
      </c>
      <c r="B20" s="169">
        <f>B21+B28+B31+B36+B42+B46+B49+B67+B53</f>
        <v>15.420000000000002</v>
      </c>
      <c r="C20" s="170">
        <f t="shared" ref="C20:C51" si="14">D20/1000</f>
        <v>11929.878723902224</v>
      </c>
      <c r="D20" s="171">
        <f>D21+D28+D31+D36+D42+D46+D49+D67+D53</f>
        <v>11929878.723902224</v>
      </c>
      <c r="E20" s="171">
        <f>E21+E28+E31+E36+E42+E46+E49+E67+E53</f>
        <v>5509254.25</v>
      </c>
      <c r="F20" s="171">
        <f t="shared" ref="F20:F51" si="15">H20/1000</f>
        <v>14648.670749999999</v>
      </c>
      <c r="G20" s="171">
        <f>G21+G28+G31+G36+G42+G46+G49+G67+G53</f>
        <v>4617719</v>
      </c>
      <c r="H20" s="171">
        <f>H21+H28+H31+H36+H42+H46+H49+H67+H53</f>
        <v>14648670.75</v>
      </c>
      <c r="I20" s="171">
        <f>I21+I28+I31+I36+I42+I46+I49+I67+I53</f>
        <v>10076754</v>
      </c>
      <c r="J20" s="171">
        <f>J21+J28+J31+J36+J42+J46+J49+J53+J67</f>
        <v>17095</v>
      </c>
      <c r="K20" s="171">
        <f t="shared" ref="K20:K51" si="16">L20/1000</f>
        <v>19531.561000000002</v>
      </c>
      <c r="L20" s="176">
        <f>L21+L28+L31+L36+L42+L46+L49+L67+L53</f>
        <v>19531561</v>
      </c>
      <c r="M20" s="171">
        <f t="shared" ref="M20:M51" si="17">N20/1000*-1</f>
        <v>-4456.8</v>
      </c>
      <c r="N20" s="171">
        <f>N21+N28+N31+N36+N42+N46+N49+N67+N53</f>
        <v>4456800</v>
      </c>
      <c r="O20" s="171">
        <f t="shared" ref="O20:O51" si="18">P20/1000*-1</f>
        <v>-8582.625</v>
      </c>
      <c r="P20" s="171">
        <f>P21+P28+P31+P36+P42+P46+P49+P67+P53</f>
        <v>8582625</v>
      </c>
      <c r="Q20" s="171">
        <f>Q21+Q28+Q31+Q36+Q42+Q49+Q53+Q67</f>
        <v>-7776</v>
      </c>
      <c r="R20" s="171">
        <f t="shared" ref="R20:R51" si="19">S20/1000*-1</f>
        <v>-11443.5</v>
      </c>
      <c r="S20" s="176">
        <f>S21+S28+S31+S36+S42+S46+S49+S67+S53</f>
        <v>11443500</v>
      </c>
      <c r="T20" s="176">
        <f>T21+T28+T31+T36+T42+T46+T49+T67+T53</f>
        <v>2485820</v>
      </c>
      <c r="U20" s="177"/>
      <c r="V20" s="173">
        <f t="shared" ref="V20:V51" si="20">C20+M20</f>
        <v>7473.0787239022238</v>
      </c>
      <c r="W20" s="173">
        <f t="shared" ref="W20:W51" si="21">F20+O20</f>
        <v>6066.0457499999993</v>
      </c>
      <c r="X20" s="173">
        <f t="shared" ref="X20:X51" si="22">J20+Q20</f>
        <v>9319</v>
      </c>
      <c r="Y20" s="171">
        <f t="shared" ref="Y20:Y51" si="23">K20+R20</f>
        <v>8088.0610000000015</v>
      </c>
      <c r="Z20" s="174"/>
      <c r="AA20" s="174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s="117" customFormat="1" ht="9.9499999999999993" customHeight="1" x14ac:dyDescent="0.15">
      <c r="A21" s="142" t="s">
        <v>53</v>
      </c>
      <c r="B21" s="125">
        <f>SUM(B22:B27)</f>
        <v>2.0499999999999998</v>
      </c>
      <c r="C21" s="140">
        <f t="shared" si="14"/>
        <v>1011.8108557263008</v>
      </c>
      <c r="D21" s="41">
        <f t="shared" ref="D21:D52" si="24">E21+U21</f>
        <v>1011810.8557263009</v>
      </c>
      <c r="E21" s="33">
        <f>SUM(E22:E27)</f>
        <v>158225.89000000001</v>
      </c>
      <c r="F21" s="41">
        <f t="shared" si="15"/>
        <v>1075.5135</v>
      </c>
      <c r="G21" s="33">
        <f>I21/2</f>
        <v>221472</v>
      </c>
      <c r="H21" s="33">
        <f t="shared" ref="H21:H52" si="25">L21*0.75</f>
        <v>1075513.5</v>
      </c>
      <c r="I21" s="33">
        <v>442944</v>
      </c>
      <c r="J21" s="33">
        <f>J22+J23+J24+J25+J26+J27</f>
        <v>1515</v>
      </c>
      <c r="K21" s="41">
        <f t="shared" si="16"/>
        <v>1434.018</v>
      </c>
      <c r="L21" s="33">
        <f>SUM(L22:L27)</f>
        <v>1434018</v>
      </c>
      <c r="M21" s="41">
        <f t="shared" si="17"/>
        <v>0</v>
      </c>
      <c r="N21" s="33"/>
      <c r="O21" s="41">
        <f t="shared" si="18"/>
        <v>-37.5</v>
      </c>
      <c r="P21" s="33">
        <f t="shared" ref="P21:P27" si="26">S21*0.75</f>
        <v>37500</v>
      </c>
      <c r="Q21" s="33">
        <f>Q22+Q23+Q24+Q25+Q26+Q27</f>
        <v>-50</v>
      </c>
      <c r="R21" s="41">
        <f t="shared" si="19"/>
        <v>-50</v>
      </c>
      <c r="S21" s="33">
        <v>50000</v>
      </c>
      <c r="T21" s="33"/>
      <c r="U21" s="146">
        <f>U8/B8*B21</f>
        <v>853584.96572630084</v>
      </c>
      <c r="V21" s="33">
        <f t="shared" si="20"/>
        <v>1011.8108557263008</v>
      </c>
      <c r="W21" s="33">
        <f t="shared" si="21"/>
        <v>1038.0135</v>
      </c>
      <c r="X21" s="33">
        <f t="shared" si="22"/>
        <v>1465</v>
      </c>
      <c r="Y21" s="41">
        <f t="shared" si="23"/>
        <v>1384.018</v>
      </c>
      <c r="Z21" s="47"/>
      <c r="AA21" s="47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s="117" customFormat="1" ht="9.9499999999999993" customHeight="1" x14ac:dyDescent="0.15">
      <c r="A22" s="144" t="s">
        <v>47</v>
      </c>
      <c r="B22" s="134">
        <v>0.75</v>
      </c>
      <c r="C22" s="145">
        <f t="shared" si="14"/>
        <v>321.48418258279298</v>
      </c>
      <c r="D22" s="43">
        <f t="shared" si="24"/>
        <v>321484.182582793</v>
      </c>
      <c r="E22" s="36">
        <v>9197</v>
      </c>
      <c r="F22" s="43">
        <f t="shared" si="15"/>
        <v>316.94099999999997</v>
      </c>
      <c r="G22" s="36">
        <f>I22/2</f>
        <v>30000</v>
      </c>
      <c r="H22" s="36">
        <f t="shared" si="25"/>
        <v>316941</v>
      </c>
      <c r="I22" s="36">
        <v>60000</v>
      </c>
      <c r="J22" s="36">
        <v>450</v>
      </c>
      <c r="K22" s="43">
        <f t="shared" si="16"/>
        <v>422.58800000000002</v>
      </c>
      <c r="L22" s="36">
        <v>422588</v>
      </c>
      <c r="M22" s="43">
        <f t="shared" si="17"/>
        <v>0</v>
      </c>
      <c r="N22" s="36"/>
      <c r="O22" s="43">
        <f t="shared" si="18"/>
        <v>0</v>
      </c>
      <c r="P22" s="33">
        <f t="shared" si="26"/>
        <v>0</v>
      </c>
      <c r="Q22" s="36">
        <v>0</v>
      </c>
      <c r="R22" s="43">
        <f t="shared" si="19"/>
        <v>0</v>
      </c>
      <c r="S22" s="36"/>
      <c r="T22" s="36"/>
      <c r="U22" s="146">
        <f>U8/B8*B22</f>
        <v>312287.182582793</v>
      </c>
      <c r="V22" s="36">
        <f t="shared" si="20"/>
        <v>321.48418258279298</v>
      </c>
      <c r="W22" s="36">
        <f t="shared" si="21"/>
        <v>316.94099999999997</v>
      </c>
      <c r="X22" s="36">
        <f t="shared" si="22"/>
        <v>450</v>
      </c>
      <c r="Y22" s="43">
        <f t="shared" si="23"/>
        <v>422.58800000000002</v>
      </c>
      <c r="Z22" s="47"/>
      <c r="AA22" s="47"/>
    </row>
    <row r="23" spans="1:38" s="117" customFormat="1" ht="9.9499999999999993" customHeight="1" x14ac:dyDescent="0.15">
      <c r="A23" s="144" t="s">
        <v>0</v>
      </c>
      <c r="B23" s="134">
        <v>0.1</v>
      </c>
      <c r="C23" s="145">
        <f t="shared" si="14"/>
        <v>116.59518101103906</v>
      </c>
      <c r="D23" s="43">
        <f t="shared" si="24"/>
        <v>116595.18101103907</v>
      </c>
      <c r="E23" s="36">
        <f>1178+31873+41905.89</f>
        <v>74956.89</v>
      </c>
      <c r="F23" s="43">
        <f t="shared" si="15"/>
        <v>105.74175</v>
      </c>
      <c r="G23" s="36">
        <f>I23/2</f>
        <v>46322</v>
      </c>
      <c r="H23" s="36">
        <f t="shared" si="25"/>
        <v>105741.75</v>
      </c>
      <c r="I23" s="36">
        <v>92644</v>
      </c>
      <c r="J23" s="36">
        <v>150</v>
      </c>
      <c r="K23" s="43">
        <f t="shared" si="16"/>
        <v>140.989</v>
      </c>
      <c r="L23" s="36">
        <v>140989</v>
      </c>
      <c r="M23" s="43">
        <f t="shared" si="17"/>
        <v>0</v>
      </c>
      <c r="N23" s="36"/>
      <c r="O23" s="43">
        <f t="shared" si="18"/>
        <v>0</v>
      </c>
      <c r="P23" s="33">
        <f t="shared" si="26"/>
        <v>0</v>
      </c>
      <c r="Q23" s="36">
        <v>0</v>
      </c>
      <c r="R23" s="43">
        <f t="shared" si="19"/>
        <v>0</v>
      </c>
      <c r="S23" s="36"/>
      <c r="T23" s="36"/>
      <c r="U23" s="146">
        <f>U8/B8*B23</f>
        <v>41638.291011039073</v>
      </c>
      <c r="V23" s="36">
        <f t="shared" si="20"/>
        <v>116.59518101103906</v>
      </c>
      <c r="W23" s="36">
        <f t="shared" si="21"/>
        <v>105.74175</v>
      </c>
      <c r="X23" s="36">
        <f t="shared" si="22"/>
        <v>150</v>
      </c>
      <c r="Y23" s="43">
        <f t="shared" si="23"/>
        <v>140.989</v>
      </c>
      <c r="Z23" s="47"/>
      <c r="AA23" s="47"/>
    </row>
    <row r="24" spans="1:38" s="117" customFormat="1" ht="9.9499999999999993" customHeight="1" x14ac:dyDescent="0.15">
      <c r="A24" s="144" t="s">
        <v>1</v>
      </c>
      <c r="B24" s="134">
        <v>0.05</v>
      </c>
      <c r="C24" s="145">
        <f t="shared" si="14"/>
        <v>38.158145505519542</v>
      </c>
      <c r="D24" s="43">
        <f t="shared" si="24"/>
        <v>38158.14550551954</v>
      </c>
      <c r="E24" s="36">
        <v>17339</v>
      </c>
      <c r="F24" s="43">
        <f t="shared" si="15"/>
        <v>18.129750000000001</v>
      </c>
      <c r="G24" s="36"/>
      <c r="H24" s="36">
        <f t="shared" si="25"/>
        <v>18129.75</v>
      </c>
      <c r="I24" s="36"/>
      <c r="J24" s="36">
        <v>50</v>
      </c>
      <c r="K24" s="43">
        <f t="shared" si="16"/>
        <v>24.172999999999998</v>
      </c>
      <c r="L24" s="36">
        <v>24173</v>
      </c>
      <c r="M24" s="43">
        <f t="shared" si="17"/>
        <v>0</v>
      </c>
      <c r="N24" s="36"/>
      <c r="O24" s="43">
        <f t="shared" si="18"/>
        <v>0</v>
      </c>
      <c r="P24" s="33">
        <f t="shared" si="26"/>
        <v>0</v>
      </c>
      <c r="Q24" s="36">
        <v>0</v>
      </c>
      <c r="R24" s="43">
        <f t="shared" si="19"/>
        <v>0</v>
      </c>
      <c r="S24" s="36"/>
      <c r="T24" s="36"/>
      <c r="U24" s="146">
        <f>U8/B8*B24</f>
        <v>20819.145505519537</v>
      </c>
      <c r="V24" s="36">
        <f t="shared" si="20"/>
        <v>38.158145505519542</v>
      </c>
      <c r="W24" s="36">
        <f t="shared" si="21"/>
        <v>18.129750000000001</v>
      </c>
      <c r="X24" s="36">
        <f t="shared" si="22"/>
        <v>50</v>
      </c>
      <c r="Y24" s="43">
        <f t="shared" si="23"/>
        <v>24.172999999999998</v>
      </c>
      <c r="Z24" s="47"/>
      <c r="AA24" s="47"/>
    </row>
    <row r="25" spans="1:38" s="117" customFormat="1" ht="9.9499999999999993" customHeight="1" x14ac:dyDescent="0.15">
      <c r="A25" s="144" t="s">
        <v>2</v>
      </c>
      <c r="B25" s="134">
        <v>0.25</v>
      </c>
      <c r="C25" s="145">
        <f t="shared" si="14"/>
        <v>104.57872752759768</v>
      </c>
      <c r="D25" s="43">
        <f t="shared" si="24"/>
        <v>104578.72752759767</v>
      </c>
      <c r="E25" s="36">
        <v>483</v>
      </c>
      <c r="F25" s="43">
        <f t="shared" si="15"/>
        <v>143.74725000000001</v>
      </c>
      <c r="G25" s="36">
        <f>I25/2</f>
        <v>35400</v>
      </c>
      <c r="H25" s="36">
        <f t="shared" si="25"/>
        <v>143747.25</v>
      </c>
      <c r="I25" s="36">
        <v>70800</v>
      </c>
      <c r="J25" s="36">
        <v>200</v>
      </c>
      <c r="K25" s="43">
        <f t="shared" si="16"/>
        <v>191.66300000000001</v>
      </c>
      <c r="L25" s="36">
        <v>191663</v>
      </c>
      <c r="M25" s="43">
        <f t="shared" si="17"/>
        <v>0</v>
      </c>
      <c r="N25" s="36"/>
      <c r="O25" s="43">
        <f t="shared" si="18"/>
        <v>0</v>
      </c>
      <c r="P25" s="33">
        <f t="shared" si="26"/>
        <v>0</v>
      </c>
      <c r="Q25" s="36">
        <v>0</v>
      </c>
      <c r="R25" s="43">
        <f t="shared" si="19"/>
        <v>0</v>
      </c>
      <c r="S25" s="36"/>
      <c r="T25" s="36"/>
      <c r="U25" s="146">
        <f>U8/B8*B25</f>
        <v>104095.72752759767</v>
      </c>
      <c r="V25" s="36">
        <f t="shared" si="20"/>
        <v>104.57872752759768</v>
      </c>
      <c r="W25" s="36">
        <f t="shared" si="21"/>
        <v>143.74725000000001</v>
      </c>
      <c r="X25" s="36">
        <f t="shared" si="22"/>
        <v>200</v>
      </c>
      <c r="Y25" s="43">
        <f t="shared" si="23"/>
        <v>191.66300000000001</v>
      </c>
      <c r="Z25" s="47"/>
      <c r="AA25" s="47"/>
    </row>
    <row r="26" spans="1:38" s="117" customFormat="1" ht="9.9499999999999993" customHeight="1" x14ac:dyDescent="0.15">
      <c r="A26" s="144" t="s">
        <v>3</v>
      </c>
      <c r="B26" s="134">
        <v>0.3</v>
      </c>
      <c r="C26" s="145">
        <f t="shared" si="14"/>
        <v>175.3428730331172</v>
      </c>
      <c r="D26" s="43">
        <f t="shared" si="24"/>
        <v>175342.87303311721</v>
      </c>
      <c r="E26" s="36">
        <v>50428</v>
      </c>
      <c r="F26" s="43">
        <f t="shared" si="15"/>
        <v>243.77625</v>
      </c>
      <c r="G26" s="36">
        <f>I26/2</f>
        <v>90000</v>
      </c>
      <c r="H26" s="36">
        <f t="shared" si="25"/>
        <v>243776.25</v>
      </c>
      <c r="I26" s="36">
        <v>180000</v>
      </c>
      <c r="J26" s="36">
        <v>325</v>
      </c>
      <c r="K26" s="43">
        <f t="shared" si="16"/>
        <v>325.03500000000003</v>
      </c>
      <c r="L26" s="36">
        <v>325035</v>
      </c>
      <c r="M26" s="43">
        <f t="shared" si="17"/>
        <v>0</v>
      </c>
      <c r="N26" s="36"/>
      <c r="O26" s="43">
        <f t="shared" si="18"/>
        <v>-37.5</v>
      </c>
      <c r="P26" s="33">
        <f t="shared" si="26"/>
        <v>37500</v>
      </c>
      <c r="Q26" s="36">
        <v>-50</v>
      </c>
      <c r="R26" s="43">
        <f t="shared" si="19"/>
        <v>-50</v>
      </c>
      <c r="S26" s="36">
        <v>50000</v>
      </c>
      <c r="T26" s="36"/>
      <c r="U26" s="146">
        <f>U8/B8*B26</f>
        <v>124914.8730331172</v>
      </c>
      <c r="V26" s="36">
        <f t="shared" si="20"/>
        <v>175.3428730331172</v>
      </c>
      <c r="W26" s="36">
        <f t="shared" si="21"/>
        <v>206.27625</v>
      </c>
      <c r="X26" s="36">
        <f t="shared" si="22"/>
        <v>275</v>
      </c>
      <c r="Y26" s="43">
        <f t="shared" si="23"/>
        <v>275.03500000000003</v>
      </c>
      <c r="Z26" s="47"/>
      <c r="AA26" s="47"/>
    </row>
    <row r="27" spans="1:38" s="117" customFormat="1" ht="9.9499999999999993" customHeight="1" x14ac:dyDescent="0.15">
      <c r="A27" s="144" t="s">
        <v>4</v>
      </c>
      <c r="B27" s="134">
        <v>0.6</v>
      </c>
      <c r="C27" s="145">
        <f t="shared" si="14"/>
        <v>255.65174606623438</v>
      </c>
      <c r="D27" s="43">
        <f t="shared" si="24"/>
        <v>255651.74606623439</v>
      </c>
      <c r="E27" s="36">
        <v>5822</v>
      </c>
      <c r="F27" s="43">
        <f t="shared" si="15"/>
        <v>247.17750000000001</v>
      </c>
      <c r="G27" s="36">
        <f>I27/2</f>
        <v>19750</v>
      </c>
      <c r="H27" s="36">
        <f t="shared" si="25"/>
        <v>247177.5</v>
      </c>
      <c r="I27" s="36">
        <v>39500</v>
      </c>
      <c r="J27" s="36">
        <v>340</v>
      </c>
      <c r="K27" s="43">
        <f t="shared" si="16"/>
        <v>329.57</v>
      </c>
      <c r="L27" s="36">
        <v>329570</v>
      </c>
      <c r="M27" s="43">
        <f t="shared" si="17"/>
        <v>0</v>
      </c>
      <c r="N27" s="36"/>
      <c r="O27" s="43">
        <f t="shared" si="18"/>
        <v>0</v>
      </c>
      <c r="P27" s="33">
        <f t="shared" si="26"/>
        <v>0</v>
      </c>
      <c r="Q27" s="36">
        <v>0</v>
      </c>
      <c r="R27" s="43">
        <f t="shared" si="19"/>
        <v>0</v>
      </c>
      <c r="S27" s="36"/>
      <c r="T27" s="36"/>
      <c r="U27" s="146">
        <f>U8/B8*B27</f>
        <v>249829.74606623439</v>
      </c>
      <c r="V27" s="36">
        <f t="shared" si="20"/>
        <v>255.65174606623438</v>
      </c>
      <c r="W27" s="36">
        <f t="shared" si="21"/>
        <v>247.17750000000001</v>
      </c>
      <c r="X27" s="36">
        <f t="shared" si="22"/>
        <v>340</v>
      </c>
      <c r="Y27" s="43">
        <f t="shared" si="23"/>
        <v>329.57</v>
      </c>
      <c r="Z27" s="47"/>
      <c r="AA27" s="47"/>
    </row>
    <row r="28" spans="1:38" s="118" customFormat="1" ht="9.9499999999999993" customHeight="1" x14ac:dyDescent="0.15">
      <c r="A28" s="142" t="s">
        <v>55</v>
      </c>
      <c r="B28" s="125">
        <f>SUM(B29:B30)</f>
        <v>0.45</v>
      </c>
      <c r="C28" s="140">
        <f t="shared" si="14"/>
        <v>241.18724954967581</v>
      </c>
      <c r="D28" s="41">
        <f t="shared" si="24"/>
        <v>241187.24954967582</v>
      </c>
      <c r="E28" s="33">
        <f>SUM(E29:E30)</f>
        <v>53814.94</v>
      </c>
      <c r="F28" s="41">
        <f t="shared" si="15"/>
        <v>943.16475000000003</v>
      </c>
      <c r="G28" s="33">
        <f>I28/2</f>
        <v>20000</v>
      </c>
      <c r="H28" s="33">
        <f t="shared" si="25"/>
        <v>943164.75</v>
      </c>
      <c r="I28" s="33">
        <v>40000</v>
      </c>
      <c r="J28" s="33">
        <f>J29+J30</f>
        <v>365</v>
      </c>
      <c r="K28" s="41">
        <f t="shared" si="16"/>
        <v>1257.5530000000001</v>
      </c>
      <c r="L28" s="33">
        <f>SUM(L29:L30)</f>
        <v>1257553</v>
      </c>
      <c r="M28" s="41">
        <f t="shared" si="17"/>
        <v>0</v>
      </c>
      <c r="N28" s="33">
        <f>N29+N30</f>
        <v>0</v>
      </c>
      <c r="O28" s="41">
        <f t="shared" si="18"/>
        <v>-750</v>
      </c>
      <c r="P28" s="33">
        <f>P29+P30</f>
        <v>750000</v>
      </c>
      <c r="Q28" s="33">
        <v>0</v>
      </c>
      <c r="R28" s="41">
        <f t="shared" si="19"/>
        <v>-1000</v>
      </c>
      <c r="S28" s="33">
        <v>1000000</v>
      </c>
      <c r="T28" s="33"/>
      <c r="U28" s="143">
        <f>U8/B8*B28</f>
        <v>187372.30954967582</v>
      </c>
      <c r="V28" s="33">
        <f t="shared" si="20"/>
        <v>241.18724954967581</v>
      </c>
      <c r="W28" s="33">
        <f t="shared" si="21"/>
        <v>193.16475000000003</v>
      </c>
      <c r="X28" s="33">
        <f t="shared" si="22"/>
        <v>365</v>
      </c>
      <c r="Y28" s="41">
        <f t="shared" si="23"/>
        <v>257.55300000000011</v>
      </c>
      <c r="Z28" s="47"/>
      <c r="AA28" s="47"/>
    </row>
    <row r="29" spans="1:38" s="117" customFormat="1" ht="9.9499999999999993" customHeight="1" x14ac:dyDescent="0.15">
      <c r="A29" s="144" t="s">
        <v>92</v>
      </c>
      <c r="B29" s="134">
        <v>0.4</v>
      </c>
      <c r="C29" s="145">
        <f t="shared" si="14"/>
        <v>176.28810404415628</v>
      </c>
      <c r="D29" s="43">
        <f t="shared" si="24"/>
        <v>176288.10404415629</v>
      </c>
      <c r="E29" s="36">
        <v>9734.94</v>
      </c>
      <c r="F29" s="43">
        <f t="shared" si="15"/>
        <v>175.035</v>
      </c>
      <c r="G29" s="36">
        <v>20000</v>
      </c>
      <c r="H29" s="36">
        <f t="shared" si="25"/>
        <v>175035</v>
      </c>
      <c r="I29" s="36">
        <v>40000</v>
      </c>
      <c r="J29" s="36">
        <v>245</v>
      </c>
      <c r="K29" s="43">
        <f t="shared" si="16"/>
        <v>233.38</v>
      </c>
      <c r="L29" s="36">
        <v>233380</v>
      </c>
      <c r="M29" s="43">
        <f t="shared" si="17"/>
        <v>0</v>
      </c>
      <c r="N29" s="36"/>
      <c r="O29" s="43">
        <f t="shared" si="18"/>
        <v>0</v>
      </c>
      <c r="P29" s="36">
        <f>S29*0.75</f>
        <v>0</v>
      </c>
      <c r="Q29" s="36">
        <v>0</v>
      </c>
      <c r="R29" s="43">
        <f t="shared" si="19"/>
        <v>0</v>
      </c>
      <c r="S29" s="36"/>
      <c r="T29" s="36"/>
      <c r="U29" s="146">
        <f>U8/B8*B29</f>
        <v>166553.16404415629</v>
      </c>
      <c r="V29" s="36">
        <f t="shared" si="20"/>
        <v>176.28810404415628</v>
      </c>
      <c r="W29" s="36">
        <f t="shared" si="21"/>
        <v>175.035</v>
      </c>
      <c r="X29" s="36">
        <f t="shared" si="22"/>
        <v>245</v>
      </c>
      <c r="Y29" s="43">
        <f t="shared" si="23"/>
        <v>233.38</v>
      </c>
      <c r="Z29" s="47"/>
      <c r="AA29" s="47"/>
    </row>
    <row r="30" spans="1:38" s="117" customFormat="1" ht="9.9499999999999993" customHeight="1" x14ac:dyDescent="0.15">
      <c r="A30" s="144" t="s">
        <v>54</v>
      </c>
      <c r="B30" s="134">
        <v>0.05</v>
      </c>
      <c r="C30" s="145">
        <f t="shared" si="14"/>
        <v>64.899145505519542</v>
      </c>
      <c r="D30" s="43">
        <f t="shared" si="24"/>
        <v>64899.14550551954</v>
      </c>
      <c r="E30" s="36">
        <v>44080</v>
      </c>
      <c r="F30" s="43">
        <f t="shared" si="15"/>
        <v>768.12974999999994</v>
      </c>
      <c r="G30" s="36"/>
      <c r="H30" s="36">
        <f t="shared" si="25"/>
        <v>768129.75</v>
      </c>
      <c r="I30" s="36"/>
      <c r="J30" s="36">
        <v>120</v>
      </c>
      <c r="K30" s="43">
        <f t="shared" si="16"/>
        <v>1024.173</v>
      </c>
      <c r="L30" s="36">
        <v>1024173</v>
      </c>
      <c r="M30" s="43">
        <f t="shared" si="17"/>
        <v>0</v>
      </c>
      <c r="N30" s="36"/>
      <c r="O30" s="43">
        <f t="shared" si="18"/>
        <v>-750</v>
      </c>
      <c r="P30" s="36">
        <f>S30*0.75</f>
        <v>750000</v>
      </c>
      <c r="Q30" s="36">
        <v>0</v>
      </c>
      <c r="R30" s="43">
        <f t="shared" si="19"/>
        <v>-1000</v>
      </c>
      <c r="S30" s="36">
        <v>1000000</v>
      </c>
      <c r="T30" s="36"/>
      <c r="U30" s="146">
        <f>U8/B8*B30</f>
        <v>20819.145505519537</v>
      </c>
      <c r="V30" s="36">
        <f t="shared" si="20"/>
        <v>64.899145505519542</v>
      </c>
      <c r="W30" s="36">
        <f t="shared" si="21"/>
        <v>18.129749999999945</v>
      </c>
      <c r="X30" s="36">
        <f t="shared" si="22"/>
        <v>120</v>
      </c>
      <c r="Y30" s="43">
        <f t="shared" si="23"/>
        <v>24.173000000000002</v>
      </c>
      <c r="Z30" s="47"/>
      <c r="AA30" s="47"/>
    </row>
    <row r="31" spans="1:38" s="118" customFormat="1" ht="9.9499999999999993" customHeight="1" x14ac:dyDescent="0.15">
      <c r="A31" s="142" t="s">
        <v>56</v>
      </c>
      <c r="B31" s="125">
        <f>SUM(B32:B35)</f>
        <v>1.9</v>
      </c>
      <c r="C31" s="140">
        <f t="shared" si="14"/>
        <v>877.6565292097423</v>
      </c>
      <c r="D31" s="41">
        <f t="shared" si="24"/>
        <v>877656.52920974232</v>
      </c>
      <c r="E31" s="33">
        <f>SUM(E32:E35)</f>
        <v>86529</v>
      </c>
      <c r="F31" s="41">
        <f t="shared" si="15"/>
        <v>1551.41625</v>
      </c>
      <c r="G31" s="33">
        <f>I31/2</f>
        <v>75000</v>
      </c>
      <c r="H31" s="33">
        <f t="shared" si="25"/>
        <v>1551416.25</v>
      </c>
      <c r="I31" s="33">
        <v>150000</v>
      </c>
      <c r="J31" s="33">
        <f>J32+J33+J34+J35</f>
        <v>1200</v>
      </c>
      <c r="K31" s="41">
        <f t="shared" si="16"/>
        <v>2068.5549999999998</v>
      </c>
      <c r="L31" s="33">
        <f>SUM(L32:L35)</f>
        <v>2068555</v>
      </c>
      <c r="M31" s="41">
        <f t="shared" si="17"/>
        <v>0</v>
      </c>
      <c r="N31" s="33">
        <f>N33+N32+N34+N35</f>
        <v>0</v>
      </c>
      <c r="O31" s="41">
        <f t="shared" si="18"/>
        <v>-750</v>
      </c>
      <c r="P31" s="33">
        <f>P32+P33+P35+P34</f>
        <v>750000</v>
      </c>
      <c r="Q31" s="33">
        <v>0</v>
      </c>
      <c r="R31" s="41">
        <f t="shared" si="19"/>
        <v>-1000</v>
      </c>
      <c r="S31" s="33">
        <v>1000000</v>
      </c>
      <c r="T31" s="33"/>
      <c r="U31" s="143">
        <f>U8/B8*B31</f>
        <v>791127.52920974232</v>
      </c>
      <c r="V31" s="33">
        <f t="shared" si="20"/>
        <v>877.6565292097423</v>
      </c>
      <c r="W31" s="33">
        <f t="shared" si="21"/>
        <v>801.41624999999999</v>
      </c>
      <c r="X31" s="33">
        <f t="shared" si="22"/>
        <v>1200</v>
      </c>
      <c r="Y31" s="41">
        <f t="shared" si="23"/>
        <v>1068.5549999999998</v>
      </c>
      <c r="Z31" s="47"/>
      <c r="AA31" s="47"/>
    </row>
    <row r="32" spans="1:38" s="117" customFormat="1" ht="9.9499999999999993" customHeight="1" x14ac:dyDescent="0.15">
      <c r="A32" s="144" t="s">
        <v>6</v>
      </c>
      <c r="B32" s="134">
        <v>0.8</v>
      </c>
      <c r="C32" s="145">
        <f t="shared" si="14"/>
        <v>370.77432808831259</v>
      </c>
      <c r="D32" s="43">
        <f t="shared" si="24"/>
        <v>370774.32808831258</v>
      </c>
      <c r="E32" s="36">
        <v>37668</v>
      </c>
      <c r="F32" s="43">
        <f t="shared" si="15"/>
        <v>327.57</v>
      </c>
      <c r="G32" s="36">
        <f>I32/2</f>
        <v>25000</v>
      </c>
      <c r="H32" s="36">
        <f t="shared" si="25"/>
        <v>327570</v>
      </c>
      <c r="I32" s="36">
        <v>50000</v>
      </c>
      <c r="J32" s="36">
        <v>480</v>
      </c>
      <c r="K32" s="43">
        <f t="shared" si="16"/>
        <v>436.76</v>
      </c>
      <c r="L32" s="36">
        <v>436760</v>
      </c>
      <c r="M32" s="43">
        <f t="shared" si="17"/>
        <v>0</v>
      </c>
      <c r="N32" s="36"/>
      <c r="O32" s="43">
        <f t="shared" si="18"/>
        <v>0</v>
      </c>
      <c r="P32" s="36">
        <f>S32*0.75</f>
        <v>0</v>
      </c>
      <c r="Q32" s="36">
        <v>0</v>
      </c>
      <c r="R32" s="43">
        <f t="shared" si="19"/>
        <v>0</v>
      </c>
      <c r="S32" s="36"/>
      <c r="T32" s="36"/>
      <c r="U32" s="146">
        <f>U8/B8*B32</f>
        <v>333106.32808831258</v>
      </c>
      <c r="V32" s="36">
        <f t="shared" si="20"/>
        <v>370.77432808831259</v>
      </c>
      <c r="W32" s="36">
        <f t="shared" si="21"/>
        <v>327.57</v>
      </c>
      <c r="X32" s="36">
        <f t="shared" si="22"/>
        <v>480</v>
      </c>
      <c r="Y32" s="43">
        <f t="shared" si="23"/>
        <v>436.76</v>
      </c>
      <c r="Z32" s="47"/>
      <c r="AA32" s="47"/>
    </row>
    <row r="33" spans="1:27" s="117" customFormat="1" ht="9.9499999999999993" customHeight="1" x14ac:dyDescent="0.15">
      <c r="A33" s="144" t="s">
        <v>109</v>
      </c>
      <c r="B33" s="134">
        <v>0.2</v>
      </c>
      <c r="C33" s="145">
        <f t="shared" si="14"/>
        <v>84.976582022078148</v>
      </c>
      <c r="D33" s="43">
        <f t="shared" si="24"/>
        <v>84976.582022078146</v>
      </c>
      <c r="E33" s="36">
        <v>1700</v>
      </c>
      <c r="F33" s="43">
        <f t="shared" si="15"/>
        <v>72.517499999999998</v>
      </c>
      <c r="G33" s="36"/>
      <c r="H33" s="36">
        <f t="shared" si="25"/>
        <v>72517.5</v>
      </c>
      <c r="I33" s="36"/>
      <c r="J33" s="36">
        <v>120</v>
      </c>
      <c r="K33" s="43">
        <f t="shared" si="16"/>
        <v>96.69</v>
      </c>
      <c r="L33" s="36">
        <v>96690</v>
      </c>
      <c r="M33" s="43">
        <f t="shared" si="17"/>
        <v>0</v>
      </c>
      <c r="N33" s="36"/>
      <c r="O33" s="43">
        <f t="shared" si="18"/>
        <v>0</v>
      </c>
      <c r="P33" s="36">
        <f>S33*0.75</f>
        <v>0</v>
      </c>
      <c r="Q33" s="36">
        <v>0</v>
      </c>
      <c r="R33" s="43">
        <f t="shared" si="19"/>
        <v>0</v>
      </c>
      <c r="S33" s="36"/>
      <c r="T33" s="36"/>
      <c r="U33" s="146">
        <f>U8/B8*B33</f>
        <v>83276.582022078146</v>
      </c>
      <c r="V33" s="36">
        <f t="shared" si="20"/>
        <v>84.976582022078148</v>
      </c>
      <c r="W33" s="36">
        <f t="shared" si="21"/>
        <v>72.517499999999998</v>
      </c>
      <c r="X33" s="36">
        <f t="shared" si="22"/>
        <v>120</v>
      </c>
      <c r="Y33" s="43">
        <f t="shared" si="23"/>
        <v>96.69</v>
      </c>
      <c r="Z33" s="47"/>
      <c r="AA33" s="47"/>
    </row>
    <row r="34" spans="1:27" s="117" customFormat="1" ht="9.9499999999999993" customHeight="1" x14ac:dyDescent="0.15">
      <c r="A34" s="144" t="s">
        <v>116</v>
      </c>
      <c r="B34" s="134">
        <v>0.5</v>
      </c>
      <c r="C34" s="145">
        <f t="shared" si="14"/>
        <v>254.87145505519536</v>
      </c>
      <c r="D34" s="43">
        <f t="shared" si="24"/>
        <v>254871.45505519534</v>
      </c>
      <c r="E34" s="36">
        <f>40650+41905.89+6030-41905.89</f>
        <v>46680</v>
      </c>
      <c r="F34" s="43">
        <f t="shared" si="15"/>
        <v>1006.29375</v>
      </c>
      <c r="G34" s="36">
        <f>I34/2</f>
        <v>50000</v>
      </c>
      <c r="H34" s="36">
        <f t="shared" si="25"/>
        <v>1006293.75</v>
      </c>
      <c r="I34" s="36">
        <v>100000</v>
      </c>
      <c r="J34" s="36">
        <v>400</v>
      </c>
      <c r="K34" s="43">
        <f t="shared" si="16"/>
        <v>1341.7249999999999</v>
      </c>
      <c r="L34" s="36">
        <v>1341725</v>
      </c>
      <c r="M34" s="43">
        <f t="shared" si="17"/>
        <v>0</v>
      </c>
      <c r="N34" s="36"/>
      <c r="O34" s="43">
        <f t="shared" si="18"/>
        <v>-750</v>
      </c>
      <c r="P34" s="36">
        <f>S34*0.75</f>
        <v>750000</v>
      </c>
      <c r="Q34" s="36">
        <v>0</v>
      </c>
      <c r="R34" s="43">
        <f t="shared" si="19"/>
        <v>-1000</v>
      </c>
      <c r="S34" s="36">
        <v>1000000</v>
      </c>
      <c r="T34" s="36"/>
      <c r="U34" s="146">
        <f>U8/B8*B34</f>
        <v>208191.45505519534</v>
      </c>
      <c r="V34" s="36">
        <f t="shared" si="20"/>
        <v>254.87145505519536</v>
      </c>
      <c r="W34" s="36">
        <f t="shared" si="21"/>
        <v>256.29375000000005</v>
      </c>
      <c r="X34" s="36">
        <f t="shared" si="22"/>
        <v>400</v>
      </c>
      <c r="Y34" s="43">
        <f t="shared" si="23"/>
        <v>341.72499999999991</v>
      </c>
      <c r="Z34" s="47"/>
      <c r="AA34" s="47"/>
    </row>
    <row r="35" spans="1:27" s="117" customFormat="1" ht="9.9499999999999993" customHeight="1" x14ac:dyDescent="0.15">
      <c r="A35" s="144" t="s">
        <v>7</v>
      </c>
      <c r="B35" s="134">
        <v>0.4</v>
      </c>
      <c r="C35" s="145">
        <f t="shared" si="14"/>
        <v>167.03416404415628</v>
      </c>
      <c r="D35" s="43">
        <f t="shared" si="24"/>
        <v>167034.16404415629</v>
      </c>
      <c r="E35" s="36">
        <f>232+249</f>
        <v>481</v>
      </c>
      <c r="F35" s="43">
        <f t="shared" si="15"/>
        <v>145.035</v>
      </c>
      <c r="G35" s="36"/>
      <c r="H35" s="36">
        <f t="shared" si="25"/>
        <v>145035</v>
      </c>
      <c r="I35" s="36"/>
      <c r="J35" s="36">
        <v>200</v>
      </c>
      <c r="K35" s="43">
        <f t="shared" si="16"/>
        <v>193.38</v>
      </c>
      <c r="L35" s="36">
        <v>193380</v>
      </c>
      <c r="M35" s="43">
        <f t="shared" si="17"/>
        <v>0</v>
      </c>
      <c r="N35" s="36"/>
      <c r="O35" s="43">
        <f t="shared" si="18"/>
        <v>0</v>
      </c>
      <c r="P35" s="36">
        <f>S35*0.75</f>
        <v>0</v>
      </c>
      <c r="Q35" s="36">
        <v>0</v>
      </c>
      <c r="R35" s="43">
        <f t="shared" si="19"/>
        <v>0</v>
      </c>
      <c r="S35" s="36"/>
      <c r="T35" s="36"/>
      <c r="U35" s="146">
        <f>U8/B8*B35</f>
        <v>166553.16404415629</v>
      </c>
      <c r="V35" s="36">
        <f t="shared" si="20"/>
        <v>167.03416404415628</v>
      </c>
      <c r="W35" s="36">
        <f t="shared" si="21"/>
        <v>145.035</v>
      </c>
      <c r="X35" s="36">
        <f t="shared" si="22"/>
        <v>200</v>
      </c>
      <c r="Y35" s="43">
        <f t="shared" si="23"/>
        <v>193.38</v>
      </c>
      <c r="Z35" s="47"/>
      <c r="AA35" s="47"/>
    </row>
    <row r="36" spans="1:27" s="118" customFormat="1" ht="9.9499999999999993" customHeight="1" x14ac:dyDescent="0.15">
      <c r="A36" s="142" t="s">
        <v>59</v>
      </c>
      <c r="B36" s="125">
        <f>SUM(B37:B41)</f>
        <v>3.85</v>
      </c>
      <c r="C36" s="140">
        <f t="shared" si="14"/>
        <v>3761.8392039250043</v>
      </c>
      <c r="D36" s="41">
        <f t="shared" si="24"/>
        <v>3761839.2039250042</v>
      </c>
      <c r="E36" s="33">
        <f>SUM(E37:E41)</f>
        <v>2158765</v>
      </c>
      <c r="F36" s="41">
        <f t="shared" si="15"/>
        <v>4488.5827499999996</v>
      </c>
      <c r="G36" s="33">
        <f>I36/2</f>
        <v>2061747</v>
      </c>
      <c r="H36" s="33">
        <f t="shared" si="25"/>
        <v>4488582.75</v>
      </c>
      <c r="I36" s="33">
        <v>4123494</v>
      </c>
      <c r="J36" s="33">
        <f>J37+J39+J38+J40+J41</f>
        <v>4660</v>
      </c>
      <c r="K36" s="41">
        <f t="shared" si="16"/>
        <v>5984.777</v>
      </c>
      <c r="L36" s="33">
        <f>SUM(L37:L41)</f>
        <v>5984777</v>
      </c>
      <c r="M36" s="41">
        <f t="shared" si="17"/>
        <v>-1213.7929999999999</v>
      </c>
      <c r="N36" s="33">
        <f>N37+N38+N39+N40+N41</f>
        <v>1213793</v>
      </c>
      <c r="O36" s="41">
        <f t="shared" si="18"/>
        <v>-2844.375</v>
      </c>
      <c r="P36" s="33">
        <f>P37+P38+P39+P40+P41</f>
        <v>2844375</v>
      </c>
      <c r="Q36" s="33">
        <f>Q37+Q38+Q39+Q41+Q40</f>
        <v>-1802</v>
      </c>
      <c r="R36" s="41">
        <f t="shared" si="19"/>
        <v>-3792.5</v>
      </c>
      <c r="S36" s="33">
        <f>S38+S39+S40+S41</f>
        <v>3792500</v>
      </c>
      <c r="T36" s="33"/>
      <c r="U36" s="143">
        <f>U8/B8*B36</f>
        <v>1603074.2039250042</v>
      </c>
      <c r="V36" s="33">
        <f t="shared" si="20"/>
        <v>2548.0462039250042</v>
      </c>
      <c r="W36" s="33">
        <f t="shared" si="21"/>
        <v>1644.2077499999996</v>
      </c>
      <c r="X36" s="33">
        <f t="shared" si="22"/>
        <v>2858</v>
      </c>
      <c r="Y36" s="41">
        <f t="shared" si="23"/>
        <v>2192.277</v>
      </c>
      <c r="Z36" s="47"/>
      <c r="AA36" s="47"/>
    </row>
    <row r="37" spans="1:27" s="117" customFormat="1" ht="9.9499999999999993" customHeight="1" x14ac:dyDescent="0.15">
      <c r="A37" s="144" t="s">
        <v>8</v>
      </c>
      <c r="B37" s="134">
        <v>0.6</v>
      </c>
      <c r="C37" s="145">
        <f t="shared" si="14"/>
        <v>299.65374606623442</v>
      </c>
      <c r="D37" s="43">
        <f t="shared" si="24"/>
        <v>299653.74606623442</v>
      </c>
      <c r="E37" s="36">
        <v>49824</v>
      </c>
      <c r="F37" s="43">
        <f t="shared" si="15"/>
        <v>303.80250000000001</v>
      </c>
      <c r="G37" s="36">
        <f>I37/2</f>
        <v>57500</v>
      </c>
      <c r="H37" s="36">
        <f t="shared" si="25"/>
        <v>303802.5</v>
      </c>
      <c r="I37" s="36">
        <v>115000</v>
      </c>
      <c r="J37" s="36">
        <v>410</v>
      </c>
      <c r="K37" s="43">
        <f t="shared" si="16"/>
        <v>405.07</v>
      </c>
      <c r="L37" s="36">
        <v>405070</v>
      </c>
      <c r="M37" s="43">
        <f t="shared" si="17"/>
        <v>0</v>
      </c>
      <c r="N37" s="36"/>
      <c r="O37" s="43">
        <f t="shared" si="18"/>
        <v>0</v>
      </c>
      <c r="P37" s="36">
        <f>S37*0.75</f>
        <v>0</v>
      </c>
      <c r="Q37" s="36">
        <v>0</v>
      </c>
      <c r="R37" s="43">
        <f t="shared" si="19"/>
        <v>0</v>
      </c>
      <c r="S37" s="36"/>
      <c r="T37" s="36"/>
      <c r="U37" s="146">
        <f>U8/B8*B37</f>
        <v>249829.74606623439</v>
      </c>
      <c r="V37" s="36">
        <f t="shared" si="20"/>
        <v>299.65374606623442</v>
      </c>
      <c r="W37" s="36">
        <f t="shared" si="21"/>
        <v>303.80250000000001</v>
      </c>
      <c r="X37" s="36">
        <f t="shared" si="22"/>
        <v>410</v>
      </c>
      <c r="Y37" s="43">
        <f t="shared" si="23"/>
        <v>405.07</v>
      </c>
      <c r="Z37" s="47"/>
      <c r="AA37" s="47"/>
    </row>
    <row r="38" spans="1:27" s="117" customFormat="1" ht="9.9499999999999993" customHeight="1" x14ac:dyDescent="0.15">
      <c r="A38" s="144" t="s">
        <v>9</v>
      </c>
      <c r="B38" s="134">
        <v>1.4</v>
      </c>
      <c r="C38" s="145">
        <f t="shared" si="14"/>
        <v>621.67507415454691</v>
      </c>
      <c r="D38" s="43">
        <f t="shared" si="24"/>
        <v>621675.07415454695</v>
      </c>
      <c r="E38" s="36">
        <v>38739</v>
      </c>
      <c r="F38" s="43">
        <f t="shared" si="15"/>
        <v>780.62249999999995</v>
      </c>
      <c r="G38" s="36">
        <f>I38/2</f>
        <v>32000</v>
      </c>
      <c r="H38" s="36">
        <f t="shared" si="25"/>
        <v>780622.5</v>
      </c>
      <c r="I38" s="36">
        <v>64000</v>
      </c>
      <c r="J38" s="36">
        <v>845</v>
      </c>
      <c r="K38" s="43">
        <f t="shared" si="16"/>
        <v>1040.83</v>
      </c>
      <c r="L38" s="36">
        <v>1040830</v>
      </c>
      <c r="M38" s="43">
        <f t="shared" si="17"/>
        <v>-2</v>
      </c>
      <c r="N38" s="36">
        <v>2000</v>
      </c>
      <c r="O38" s="43">
        <f t="shared" si="18"/>
        <v>-225</v>
      </c>
      <c r="P38" s="36">
        <f>S38*0.75</f>
        <v>225000</v>
      </c>
      <c r="Q38" s="36">
        <v>-2</v>
      </c>
      <c r="R38" s="43">
        <f t="shared" si="19"/>
        <v>-300</v>
      </c>
      <c r="S38" s="36">
        <v>300000</v>
      </c>
      <c r="T38" s="36">
        <v>2000</v>
      </c>
      <c r="U38" s="146">
        <f>U8/B8*B38</f>
        <v>582936.07415454695</v>
      </c>
      <c r="V38" s="36">
        <f t="shared" si="20"/>
        <v>619.67507415454691</v>
      </c>
      <c r="W38" s="36">
        <f t="shared" si="21"/>
        <v>555.62249999999995</v>
      </c>
      <c r="X38" s="36">
        <f t="shared" si="22"/>
        <v>843</v>
      </c>
      <c r="Y38" s="43">
        <f t="shared" si="23"/>
        <v>740.82999999999993</v>
      </c>
      <c r="Z38" s="47"/>
      <c r="AA38" s="47"/>
    </row>
    <row r="39" spans="1:27" s="117" customFormat="1" ht="9.9499999999999993" customHeight="1" x14ac:dyDescent="0.15">
      <c r="A39" s="144" t="s">
        <v>10</v>
      </c>
      <c r="B39" s="134">
        <v>0.35</v>
      </c>
      <c r="C39" s="145">
        <f t="shared" si="14"/>
        <v>194.69201853863675</v>
      </c>
      <c r="D39" s="43">
        <f t="shared" si="24"/>
        <v>194692.01853863674</v>
      </c>
      <c r="E39" s="36">
        <v>48958</v>
      </c>
      <c r="F39" s="43">
        <f t="shared" si="15"/>
        <v>711.90599999999995</v>
      </c>
      <c r="G39" s="36"/>
      <c r="H39" s="36">
        <f t="shared" si="25"/>
        <v>711906</v>
      </c>
      <c r="I39" s="36"/>
      <c r="J39" s="36">
        <v>475</v>
      </c>
      <c r="K39" s="43">
        <f t="shared" si="16"/>
        <v>949.20799999999997</v>
      </c>
      <c r="L39" s="36">
        <v>949208</v>
      </c>
      <c r="M39" s="43">
        <f t="shared" si="17"/>
        <v>-6</v>
      </c>
      <c r="N39" s="36">
        <v>6000</v>
      </c>
      <c r="O39" s="43">
        <f t="shared" si="18"/>
        <v>-585</v>
      </c>
      <c r="P39" s="36">
        <f>S39*0.75</f>
        <v>585000</v>
      </c>
      <c r="Q39" s="36">
        <v>-300</v>
      </c>
      <c r="R39" s="43">
        <f t="shared" si="19"/>
        <v>-780</v>
      </c>
      <c r="S39" s="36">
        <v>780000</v>
      </c>
      <c r="T39" s="36">
        <v>6000</v>
      </c>
      <c r="U39" s="146">
        <f>U8/B8*B39</f>
        <v>145734.01853863674</v>
      </c>
      <c r="V39" s="36">
        <f t="shared" si="20"/>
        <v>188.69201853863675</v>
      </c>
      <c r="W39" s="36">
        <f t="shared" si="21"/>
        <v>126.90599999999995</v>
      </c>
      <c r="X39" s="36">
        <f t="shared" si="22"/>
        <v>175</v>
      </c>
      <c r="Y39" s="43">
        <f t="shared" si="23"/>
        <v>169.20799999999997</v>
      </c>
      <c r="Z39" s="47"/>
      <c r="AA39" s="47"/>
    </row>
    <row r="40" spans="1:27" s="117" customFormat="1" ht="9.9499999999999993" customHeight="1" x14ac:dyDescent="0.15">
      <c r="A40" s="144" t="s">
        <v>12</v>
      </c>
      <c r="B40" s="134">
        <v>1</v>
      </c>
      <c r="C40" s="145">
        <f t="shared" si="14"/>
        <v>2418.8049101103907</v>
      </c>
      <c r="D40" s="43">
        <f t="shared" si="24"/>
        <v>2418804.9101103907</v>
      </c>
      <c r="E40" s="36">
        <v>2002422</v>
      </c>
      <c r="F40" s="43">
        <f t="shared" si="15"/>
        <v>1646.5830000000001</v>
      </c>
      <c r="G40" s="36"/>
      <c r="H40" s="36">
        <f t="shared" si="25"/>
        <v>1646583</v>
      </c>
      <c r="I40" s="36"/>
      <c r="J40" s="36">
        <v>2500</v>
      </c>
      <c r="K40" s="43">
        <f t="shared" si="16"/>
        <v>2195.444</v>
      </c>
      <c r="L40" s="36">
        <v>2195444</v>
      </c>
      <c r="M40" s="43">
        <f t="shared" si="17"/>
        <v>-1205.7929999999999</v>
      </c>
      <c r="N40" s="36">
        <f>455793+750000</f>
        <v>1205793</v>
      </c>
      <c r="O40" s="43">
        <f t="shared" si="18"/>
        <v>-1284.375</v>
      </c>
      <c r="P40" s="36">
        <f>S40*0.75</f>
        <v>1284375</v>
      </c>
      <c r="Q40" s="36">
        <v>-1500</v>
      </c>
      <c r="R40" s="43">
        <f t="shared" si="19"/>
        <v>-1712.5</v>
      </c>
      <c r="S40" s="36">
        <v>1712500</v>
      </c>
      <c r="T40" s="36">
        <f>750000+455793</f>
        <v>1205793</v>
      </c>
      <c r="U40" s="146">
        <f>U8/B8*B40</f>
        <v>416382.91011039069</v>
      </c>
      <c r="V40" s="36">
        <f t="shared" si="20"/>
        <v>1213.0119101103908</v>
      </c>
      <c r="W40" s="36">
        <f t="shared" si="21"/>
        <v>362.20800000000008</v>
      </c>
      <c r="X40" s="36">
        <f t="shared" si="22"/>
        <v>1000</v>
      </c>
      <c r="Y40" s="43">
        <f t="shared" si="23"/>
        <v>482.94399999999996</v>
      </c>
      <c r="Z40" s="47"/>
      <c r="AA40" s="47"/>
    </row>
    <row r="41" spans="1:27" s="117" customFormat="1" ht="9.9499999999999993" customHeight="1" x14ac:dyDescent="0.15">
      <c r="A41" s="144" t="s">
        <v>37</v>
      </c>
      <c r="B41" s="134">
        <v>0.5</v>
      </c>
      <c r="C41" s="145">
        <f t="shared" si="14"/>
        <v>227.01345505519535</v>
      </c>
      <c r="D41" s="43">
        <f t="shared" si="24"/>
        <v>227013.45505519534</v>
      </c>
      <c r="E41" s="36">
        <f>1022+17800</f>
        <v>18822</v>
      </c>
      <c r="F41" s="43">
        <f t="shared" si="15"/>
        <v>1045.66875</v>
      </c>
      <c r="G41" s="36"/>
      <c r="H41" s="36">
        <f t="shared" si="25"/>
        <v>1045668.75</v>
      </c>
      <c r="I41" s="36"/>
      <c r="J41" s="36">
        <v>430</v>
      </c>
      <c r="K41" s="43">
        <f t="shared" si="16"/>
        <v>1394.2249999999999</v>
      </c>
      <c r="L41" s="36">
        <f>150845+1243380</f>
        <v>1394225</v>
      </c>
      <c r="M41" s="43">
        <f t="shared" si="17"/>
        <v>0</v>
      </c>
      <c r="N41" s="36"/>
      <c r="O41" s="43">
        <f t="shared" si="18"/>
        <v>-750</v>
      </c>
      <c r="P41" s="36">
        <f>S41*0.75</f>
        <v>750000</v>
      </c>
      <c r="Q41" s="36">
        <v>0</v>
      </c>
      <c r="R41" s="43">
        <f t="shared" si="19"/>
        <v>-1000</v>
      </c>
      <c r="S41" s="36">
        <v>1000000</v>
      </c>
      <c r="T41" s="36"/>
      <c r="U41" s="146">
        <f>U8/B8*B41</f>
        <v>208191.45505519534</v>
      </c>
      <c r="V41" s="36">
        <f t="shared" si="20"/>
        <v>227.01345505519535</v>
      </c>
      <c r="W41" s="36">
        <f t="shared" si="21"/>
        <v>295.66875000000005</v>
      </c>
      <c r="X41" s="36">
        <f t="shared" si="22"/>
        <v>430</v>
      </c>
      <c r="Y41" s="43">
        <f t="shared" si="23"/>
        <v>394.22499999999991</v>
      </c>
      <c r="Z41" s="47"/>
      <c r="AA41" s="47"/>
    </row>
    <row r="42" spans="1:27" s="118" customFormat="1" ht="9.9499999999999993" customHeight="1" x14ac:dyDescent="0.15">
      <c r="A42" s="142" t="s">
        <v>60</v>
      </c>
      <c r="B42" s="125">
        <f>SUM(B43:B45)</f>
        <v>0.97</v>
      </c>
      <c r="C42" s="140">
        <f t="shared" si="14"/>
        <v>886.44942280707903</v>
      </c>
      <c r="D42" s="41">
        <f t="shared" si="24"/>
        <v>886449.42280707904</v>
      </c>
      <c r="E42" s="33">
        <f>SUM(E43:E45)</f>
        <v>482558</v>
      </c>
      <c r="F42" s="41">
        <f t="shared" si="15"/>
        <v>982.69725000000005</v>
      </c>
      <c r="G42" s="33"/>
      <c r="H42" s="33">
        <f t="shared" si="25"/>
        <v>982697.25</v>
      </c>
      <c r="I42" s="33">
        <v>841316</v>
      </c>
      <c r="J42" s="33">
        <f>J43+J44+J45</f>
        <v>1058</v>
      </c>
      <c r="K42" s="41">
        <f t="shared" si="16"/>
        <v>1310.2629999999999</v>
      </c>
      <c r="L42" s="33">
        <f>SUM(L43:L45)</f>
        <v>1310263</v>
      </c>
      <c r="M42" s="41">
        <f t="shared" si="17"/>
        <v>-325</v>
      </c>
      <c r="N42" s="33">
        <f>N43+N44+N45</f>
        <v>325000</v>
      </c>
      <c r="O42" s="41">
        <f t="shared" si="18"/>
        <v>-525</v>
      </c>
      <c r="P42" s="33">
        <f>P43+P44+P45</f>
        <v>525000</v>
      </c>
      <c r="Q42" s="33">
        <f>Q43+Q44+Q45</f>
        <v>-325</v>
      </c>
      <c r="R42" s="41">
        <f t="shared" si="19"/>
        <v>-700</v>
      </c>
      <c r="S42" s="33">
        <v>700000</v>
      </c>
      <c r="T42" s="33"/>
      <c r="U42" s="143">
        <f>U8/B8*B42</f>
        <v>403891.42280707898</v>
      </c>
      <c r="V42" s="33">
        <f t="shared" si="20"/>
        <v>561.44942280707903</v>
      </c>
      <c r="W42" s="33">
        <f t="shared" si="21"/>
        <v>457.69725000000005</v>
      </c>
      <c r="X42" s="33">
        <f t="shared" si="22"/>
        <v>733</v>
      </c>
      <c r="Y42" s="41">
        <f t="shared" si="23"/>
        <v>610.26299999999992</v>
      </c>
      <c r="Z42" s="47"/>
      <c r="AA42" s="47"/>
    </row>
    <row r="43" spans="1:27" s="117" customFormat="1" ht="9.9499999999999993" customHeight="1" x14ac:dyDescent="0.15">
      <c r="A43" s="144" t="s">
        <v>13</v>
      </c>
      <c r="B43" s="134">
        <v>0.42</v>
      </c>
      <c r="C43" s="145">
        <f t="shared" si="14"/>
        <v>201.51582224636408</v>
      </c>
      <c r="D43" s="43">
        <f t="shared" si="24"/>
        <v>201515.82224636409</v>
      </c>
      <c r="E43" s="36">
        <v>26635</v>
      </c>
      <c r="F43" s="43">
        <f t="shared" si="15"/>
        <v>174.78675000000001</v>
      </c>
      <c r="G43" s="36"/>
      <c r="H43" s="36">
        <f t="shared" si="25"/>
        <v>174786.75</v>
      </c>
      <c r="I43" s="36">
        <v>30000</v>
      </c>
      <c r="J43" s="36">
        <v>275</v>
      </c>
      <c r="K43" s="43">
        <f t="shared" si="16"/>
        <v>233.04900000000001</v>
      </c>
      <c r="L43" s="36">
        <v>233049</v>
      </c>
      <c r="M43" s="43">
        <f t="shared" si="17"/>
        <v>0</v>
      </c>
      <c r="N43" s="36"/>
      <c r="O43" s="43">
        <f t="shared" si="18"/>
        <v>0</v>
      </c>
      <c r="P43" s="36">
        <f t="shared" ref="P43:P48" si="27">S43*0.75</f>
        <v>0</v>
      </c>
      <c r="Q43" s="36">
        <v>0</v>
      </c>
      <c r="R43" s="43">
        <f t="shared" si="19"/>
        <v>0</v>
      </c>
      <c r="S43" s="36"/>
      <c r="T43" s="36"/>
      <c r="U43" s="146">
        <f>U8/B8*B43</f>
        <v>174880.82224636409</v>
      </c>
      <c r="V43" s="36">
        <f t="shared" si="20"/>
        <v>201.51582224636408</v>
      </c>
      <c r="W43" s="36">
        <f t="shared" si="21"/>
        <v>174.78675000000001</v>
      </c>
      <c r="X43" s="36">
        <f t="shared" si="22"/>
        <v>275</v>
      </c>
      <c r="Y43" s="43">
        <f t="shared" si="23"/>
        <v>233.04900000000001</v>
      </c>
      <c r="Z43" s="47"/>
      <c r="AA43" s="47"/>
    </row>
    <row r="44" spans="1:27" s="117" customFormat="1" ht="9.9499999999999993" customHeight="1" x14ac:dyDescent="0.15">
      <c r="A44" s="144" t="s">
        <v>14</v>
      </c>
      <c r="B44" s="134">
        <v>0.45</v>
      </c>
      <c r="C44" s="145">
        <f t="shared" si="14"/>
        <v>643.29530954967584</v>
      </c>
      <c r="D44" s="43">
        <f t="shared" si="24"/>
        <v>643295.30954967579</v>
      </c>
      <c r="E44" s="36">
        <v>455923</v>
      </c>
      <c r="F44" s="43">
        <f t="shared" si="15"/>
        <v>771.65174999999999</v>
      </c>
      <c r="G44" s="36"/>
      <c r="H44" s="36">
        <f t="shared" si="25"/>
        <v>771651.75</v>
      </c>
      <c r="I44" s="36">
        <v>811316</v>
      </c>
      <c r="J44" s="36">
        <v>708</v>
      </c>
      <c r="K44" s="43">
        <f t="shared" si="16"/>
        <v>1028.8689999999999</v>
      </c>
      <c r="L44" s="36">
        <f>217553+1000+470316+340000</f>
        <v>1028869</v>
      </c>
      <c r="M44" s="43">
        <f t="shared" si="17"/>
        <v>-325</v>
      </c>
      <c r="N44" s="36">
        <v>325000</v>
      </c>
      <c r="O44" s="43">
        <f t="shared" si="18"/>
        <v>-525</v>
      </c>
      <c r="P44" s="36">
        <f t="shared" si="27"/>
        <v>525000</v>
      </c>
      <c r="Q44" s="36">
        <v>-325</v>
      </c>
      <c r="R44" s="43">
        <f t="shared" si="19"/>
        <v>-700</v>
      </c>
      <c r="S44" s="36">
        <v>700000</v>
      </c>
      <c r="T44" s="36">
        <v>325000</v>
      </c>
      <c r="U44" s="146">
        <f>U8/B8*B44</f>
        <v>187372.30954967582</v>
      </c>
      <c r="V44" s="36">
        <f t="shared" si="20"/>
        <v>318.29530954967584</v>
      </c>
      <c r="W44" s="36">
        <f t="shared" si="21"/>
        <v>246.65174999999999</v>
      </c>
      <c r="X44" s="36">
        <f t="shared" si="22"/>
        <v>383</v>
      </c>
      <c r="Y44" s="43">
        <f t="shared" si="23"/>
        <v>328.86899999999991</v>
      </c>
      <c r="Z44" s="47"/>
      <c r="AA44" s="47"/>
    </row>
    <row r="45" spans="1:27" s="117" customFormat="1" ht="9.9499999999999993" customHeight="1" x14ac:dyDescent="0.15">
      <c r="A45" s="144" t="s">
        <v>37</v>
      </c>
      <c r="B45" s="134">
        <v>0.1</v>
      </c>
      <c r="C45" s="145">
        <f t="shared" si="14"/>
        <v>41.638291011039072</v>
      </c>
      <c r="D45" s="43">
        <f t="shared" si="24"/>
        <v>41638.291011039073</v>
      </c>
      <c r="E45" s="36"/>
      <c r="F45" s="43">
        <f t="shared" si="15"/>
        <v>36.258749999999999</v>
      </c>
      <c r="G45" s="36"/>
      <c r="H45" s="36">
        <f t="shared" si="25"/>
        <v>36258.75</v>
      </c>
      <c r="I45" s="36"/>
      <c r="J45" s="36">
        <v>75</v>
      </c>
      <c r="K45" s="43">
        <f t="shared" si="16"/>
        <v>48.344999999999999</v>
      </c>
      <c r="L45" s="36">
        <v>48345</v>
      </c>
      <c r="M45" s="43">
        <f t="shared" si="17"/>
        <v>0</v>
      </c>
      <c r="N45" s="36"/>
      <c r="O45" s="43">
        <f t="shared" si="18"/>
        <v>0</v>
      </c>
      <c r="P45" s="36">
        <f t="shared" si="27"/>
        <v>0</v>
      </c>
      <c r="Q45" s="36">
        <v>0</v>
      </c>
      <c r="R45" s="43">
        <f t="shared" si="19"/>
        <v>0</v>
      </c>
      <c r="S45" s="36"/>
      <c r="T45" s="36"/>
      <c r="U45" s="146">
        <f>U8/B8*B45</f>
        <v>41638.291011039073</v>
      </c>
      <c r="V45" s="36">
        <f t="shared" si="20"/>
        <v>41.638291011039072</v>
      </c>
      <c r="W45" s="36">
        <f t="shared" si="21"/>
        <v>36.258749999999999</v>
      </c>
      <c r="X45" s="36">
        <f t="shared" si="22"/>
        <v>75</v>
      </c>
      <c r="Y45" s="43">
        <f t="shared" si="23"/>
        <v>48.344999999999999</v>
      </c>
      <c r="Z45" s="47"/>
      <c r="AA45" s="47"/>
    </row>
    <row r="46" spans="1:27" s="118" customFormat="1" ht="9.9499999999999993" customHeight="1" x14ac:dyDescent="0.15">
      <c r="A46" s="142" t="s">
        <v>61</v>
      </c>
      <c r="B46" s="125">
        <f>SUM(B47:B48)</f>
        <v>0.3</v>
      </c>
      <c r="C46" s="140">
        <f t="shared" si="14"/>
        <v>171.96852303311721</v>
      </c>
      <c r="D46" s="41">
        <f t="shared" si="24"/>
        <v>171968.52303311721</v>
      </c>
      <c r="E46" s="33">
        <f>SUM(E47:E48)</f>
        <v>47053.65</v>
      </c>
      <c r="F46" s="41">
        <f t="shared" si="15"/>
        <v>138.77699999999999</v>
      </c>
      <c r="G46" s="33">
        <f>I46/2</f>
        <v>20000</v>
      </c>
      <c r="H46" s="33">
        <f t="shared" si="25"/>
        <v>138777</v>
      </c>
      <c r="I46" s="33">
        <v>40000</v>
      </c>
      <c r="J46" s="33">
        <f>J47+J48</f>
        <v>232</v>
      </c>
      <c r="K46" s="41">
        <f t="shared" si="16"/>
        <v>185.036</v>
      </c>
      <c r="L46" s="33">
        <f>SUM(L47:L48)</f>
        <v>185036</v>
      </c>
      <c r="M46" s="41">
        <f t="shared" si="17"/>
        <v>0</v>
      </c>
      <c r="N46" s="33">
        <f>N47+N48</f>
        <v>0</v>
      </c>
      <c r="O46" s="41">
        <f t="shared" si="18"/>
        <v>0</v>
      </c>
      <c r="P46" s="36">
        <f t="shared" si="27"/>
        <v>0</v>
      </c>
      <c r="Q46" s="33">
        <v>0</v>
      </c>
      <c r="R46" s="41">
        <f t="shared" si="19"/>
        <v>0</v>
      </c>
      <c r="S46" s="33"/>
      <c r="T46" s="33"/>
      <c r="U46" s="143">
        <f>U8/B8*B46</f>
        <v>124914.8730331172</v>
      </c>
      <c r="V46" s="33">
        <f t="shared" si="20"/>
        <v>171.96852303311721</v>
      </c>
      <c r="W46" s="33">
        <f t="shared" si="21"/>
        <v>138.77699999999999</v>
      </c>
      <c r="X46" s="33">
        <f t="shared" si="22"/>
        <v>232</v>
      </c>
      <c r="Y46" s="41">
        <f t="shared" si="23"/>
        <v>185.036</v>
      </c>
      <c r="Z46" s="47"/>
      <c r="AA46" s="47"/>
    </row>
    <row r="47" spans="1:27" s="117" customFormat="1" ht="9.9499999999999993" customHeight="1" x14ac:dyDescent="0.15">
      <c r="A47" s="144" t="s">
        <v>15</v>
      </c>
      <c r="B47" s="134">
        <v>0.15</v>
      </c>
      <c r="C47" s="145">
        <f t="shared" si="14"/>
        <v>109.10143651655861</v>
      </c>
      <c r="D47" s="43">
        <f t="shared" si="24"/>
        <v>109101.43651655861</v>
      </c>
      <c r="E47" s="36">
        <v>46644</v>
      </c>
      <c r="F47" s="43">
        <f t="shared" si="15"/>
        <v>69.388499999999993</v>
      </c>
      <c r="G47" s="36"/>
      <c r="H47" s="36">
        <f t="shared" si="25"/>
        <v>69388.5</v>
      </c>
      <c r="I47" s="36">
        <v>20000</v>
      </c>
      <c r="J47" s="36">
        <v>135</v>
      </c>
      <c r="K47" s="43">
        <f t="shared" si="16"/>
        <v>92.518000000000001</v>
      </c>
      <c r="L47" s="36">
        <v>92518</v>
      </c>
      <c r="M47" s="43">
        <f t="shared" si="17"/>
        <v>0</v>
      </c>
      <c r="N47" s="36"/>
      <c r="O47" s="43">
        <f t="shared" si="18"/>
        <v>0</v>
      </c>
      <c r="P47" s="36">
        <f t="shared" si="27"/>
        <v>0</v>
      </c>
      <c r="Q47" s="36">
        <v>0</v>
      </c>
      <c r="R47" s="43">
        <f t="shared" si="19"/>
        <v>0</v>
      </c>
      <c r="S47" s="36"/>
      <c r="T47" s="36"/>
      <c r="U47" s="146">
        <f>U8/B8*B47</f>
        <v>62457.436516558599</v>
      </c>
      <c r="V47" s="36">
        <f t="shared" si="20"/>
        <v>109.10143651655861</v>
      </c>
      <c r="W47" s="36">
        <f t="shared" si="21"/>
        <v>69.388499999999993</v>
      </c>
      <c r="X47" s="36">
        <f t="shared" si="22"/>
        <v>135</v>
      </c>
      <c r="Y47" s="43">
        <f t="shared" si="23"/>
        <v>92.518000000000001</v>
      </c>
      <c r="Z47" s="47"/>
      <c r="AA47" s="47"/>
    </row>
    <row r="48" spans="1:27" s="117" customFormat="1" ht="9.9499999999999993" customHeight="1" x14ac:dyDescent="0.15">
      <c r="A48" s="144" t="s">
        <v>16</v>
      </c>
      <c r="B48" s="134">
        <v>0.15</v>
      </c>
      <c r="C48" s="145">
        <f t="shared" si="14"/>
        <v>62.867086516558601</v>
      </c>
      <c r="D48" s="43">
        <f t="shared" si="24"/>
        <v>62867.0865165586</v>
      </c>
      <c r="E48" s="36">
        <v>409.65</v>
      </c>
      <c r="F48" s="43">
        <f t="shared" si="15"/>
        <v>69.388499999999993</v>
      </c>
      <c r="G48" s="36"/>
      <c r="H48" s="36">
        <f t="shared" si="25"/>
        <v>69388.5</v>
      </c>
      <c r="I48" s="36">
        <v>20000</v>
      </c>
      <c r="J48" s="36">
        <v>97</v>
      </c>
      <c r="K48" s="43">
        <f t="shared" si="16"/>
        <v>92.518000000000001</v>
      </c>
      <c r="L48" s="36">
        <v>92518</v>
      </c>
      <c r="M48" s="43">
        <f t="shared" si="17"/>
        <v>0</v>
      </c>
      <c r="N48" s="36"/>
      <c r="O48" s="43">
        <f t="shared" si="18"/>
        <v>0</v>
      </c>
      <c r="P48" s="36">
        <f t="shared" si="27"/>
        <v>0</v>
      </c>
      <c r="Q48" s="36">
        <v>0</v>
      </c>
      <c r="R48" s="43">
        <f t="shared" si="19"/>
        <v>0</v>
      </c>
      <c r="S48" s="36"/>
      <c r="T48" s="36"/>
      <c r="U48" s="146">
        <f>U8/B8*B48</f>
        <v>62457.436516558599</v>
      </c>
      <c r="V48" s="36">
        <f t="shared" si="20"/>
        <v>62.867086516558601</v>
      </c>
      <c r="W48" s="36">
        <f t="shared" si="21"/>
        <v>69.388499999999993</v>
      </c>
      <c r="X48" s="36">
        <f t="shared" si="22"/>
        <v>97</v>
      </c>
      <c r="Y48" s="43">
        <f t="shared" si="23"/>
        <v>92.518000000000001</v>
      </c>
      <c r="Z48" s="47"/>
      <c r="AA48" s="47"/>
    </row>
    <row r="49" spans="1:27" s="118" customFormat="1" ht="9.9499999999999993" customHeight="1" x14ac:dyDescent="0.15">
      <c r="A49" s="142" t="s">
        <v>62</v>
      </c>
      <c r="B49" s="125">
        <f>SUM(B50:B52)</f>
        <v>1.95</v>
      </c>
      <c r="C49" s="140">
        <f t="shared" si="14"/>
        <v>1393.855674715262</v>
      </c>
      <c r="D49" s="41">
        <f t="shared" si="24"/>
        <v>1393855.6747152619</v>
      </c>
      <c r="E49" s="33">
        <f>SUM(E50:E52)</f>
        <v>581909</v>
      </c>
      <c r="F49" s="41">
        <f t="shared" si="15"/>
        <v>1261.296</v>
      </c>
      <c r="G49" s="33">
        <f>I49/2</f>
        <v>369500</v>
      </c>
      <c r="H49" s="33">
        <f t="shared" si="25"/>
        <v>1261296</v>
      </c>
      <c r="I49" s="33">
        <v>739000</v>
      </c>
      <c r="J49" s="33">
        <f>J50+J51+J52</f>
        <v>1830</v>
      </c>
      <c r="K49" s="41">
        <f t="shared" si="16"/>
        <v>1681.7280000000001</v>
      </c>
      <c r="L49" s="33">
        <f>SUM(L50:L52)</f>
        <v>1681728</v>
      </c>
      <c r="M49" s="41">
        <f t="shared" si="17"/>
        <v>-1965.18</v>
      </c>
      <c r="N49" s="33">
        <f>N50+N51</f>
        <v>1965180</v>
      </c>
      <c r="O49" s="41">
        <f t="shared" si="18"/>
        <v>-1013.25</v>
      </c>
      <c r="P49" s="33">
        <f>P50+P52+P51</f>
        <v>1013250</v>
      </c>
      <c r="Q49" s="33">
        <f>Q50+Q52+Q51</f>
        <v>-2049</v>
      </c>
      <c r="R49" s="41">
        <f t="shared" si="19"/>
        <v>-1351</v>
      </c>
      <c r="S49" s="33">
        <f>S50+S51</f>
        <v>1351000</v>
      </c>
      <c r="T49" s="33">
        <f>T50+T51</f>
        <v>1815541</v>
      </c>
      <c r="U49" s="143">
        <f>U8/B8*B49</f>
        <v>811946.67471526179</v>
      </c>
      <c r="V49" s="33">
        <f t="shared" si="20"/>
        <v>-571.32432528473805</v>
      </c>
      <c r="W49" s="33">
        <f t="shared" si="21"/>
        <v>248.04600000000005</v>
      </c>
      <c r="X49" s="33">
        <f t="shared" si="22"/>
        <v>-219</v>
      </c>
      <c r="Y49" s="41">
        <f t="shared" si="23"/>
        <v>330.72800000000007</v>
      </c>
      <c r="Z49" s="47"/>
      <c r="AA49" s="47"/>
    </row>
    <row r="50" spans="1:27" s="117" customFormat="1" ht="9.9499999999999993" customHeight="1" x14ac:dyDescent="0.15">
      <c r="A50" s="144" t="s">
        <v>17</v>
      </c>
      <c r="B50" s="134">
        <v>0.95</v>
      </c>
      <c r="C50" s="145">
        <f t="shared" si="14"/>
        <v>440.47276460487114</v>
      </c>
      <c r="D50" s="43">
        <f t="shared" si="24"/>
        <v>440472.76460487116</v>
      </c>
      <c r="E50" s="36">
        <v>44909</v>
      </c>
      <c r="F50" s="43">
        <f t="shared" si="15"/>
        <v>432.20850000000002</v>
      </c>
      <c r="G50" s="36">
        <f>I50/2</f>
        <v>58500</v>
      </c>
      <c r="H50" s="36">
        <f t="shared" si="25"/>
        <v>432208.5</v>
      </c>
      <c r="I50" s="36">
        <v>117000</v>
      </c>
      <c r="J50" s="36">
        <v>615</v>
      </c>
      <c r="K50" s="43">
        <f t="shared" si="16"/>
        <v>576.27800000000002</v>
      </c>
      <c r="L50" s="36">
        <v>576278</v>
      </c>
      <c r="M50" s="43">
        <f t="shared" si="17"/>
        <v>-136.18700000000001</v>
      </c>
      <c r="N50" s="36">
        <f>26187+110000</f>
        <v>136187</v>
      </c>
      <c r="O50" s="43">
        <f t="shared" si="18"/>
        <v>-183.75</v>
      </c>
      <c r="P50" s="36">
        <f>S50*0.75</f>
        <v>183750</v>
      </c>
      <c r="Q50" s="36">
        <v>-220</v>
      </c>
      <c r="R50" s="43">
        <f t="shared" si="19"/>
        <v>-245</v>
      </c>
      <c r="S50" s="36">
        <v>245000</v>
      </c>
      <c r="T50" s="36">
        <v>110000</v>
      </c>
      <c r="U50" s="146">
        <f>U8/B8*B50</f>
        <v>395563.76460487116</v>
      </c>
      <c r="V50" s="36">
        <f t="shared" si="20"/>
        <v>304.28576460487113</v>
      </c>
      <c r="W50" s="36">
        <f t="shared" si="21"/>
        <v>248.45850000000002</v>
      </c>
      <c r="X50" s="36">
        <f t="shared" si="22"/>
        <v>395</v>
      </c>
      <c r="Y50" s="43">
        <f t="shared" si="23"/>
        <v>331.27800000000002</v>
      </c>
      <c r="Z50" s="47"/>
      <c r="AA50" s="47"/>
    </row>
    <row r="51" spans="1:27" s="117" customFormat="1" ht="9.9499999999999993" customHeight="1" x14ac:dyDescent="0.15">
      <c r="A51" s="144" t="s">
        <v>18</v>
      </c>
      <c r="B51" s="134">
        <v>1</v>
      </c>
      <c r="C51" s="145">
        <f t="shared" si="14"/>
        <v>942.8809101103908</v>
      </c>
      <c r="D51" s="43">
        <f t="shared" si="24"/>
        <v>942880.91011039075</v>
      </c>
      <c r="E51" s="36">
        <v>526498</v>
      </c>
      <c r="F51" s="43">
        <f t="shared" si="15"/>
        <v>829.08749999999998</v>
      </c>
      <c r="G51" s="36">
        <f>I51/2</f>
        <v>311000</v>
      </c>
      <c r="H51" s="36">
        <f t="shared" si="25"/>
        <v>829087.5</v>
      </c>
      <c r="I51" s="36">
        <v>622000</v>
      </c>
      <c r="J51" s="36">
        <v>1200</v>
      </c>
      <c r="K51" s="43">
        <f t="shared" si="16"/>
        <v>1105.45</v>
      </c>
      <c r="L51" s="36">
        <v>1105450</v>
      </c>
      <c r="M51" s="43">
        <f t="shared" si="17"/>
        <v>-1828.9929999999999</v>
      </c>
      <c r="N51" s="36">
        <f>1705541+123452</f>
        <v>1828993</v>
      </c>
      <c r="O51" s="43">
        <f t="shared" si="18"/>
        <v>-829.5</v>
      </c>
      <c r="P51" s="36">
        <f>S51*0.75</f>
        <v>829500</v>
      </c>
      <c r="Q51" s="36">
        <v>-1829</v>
      </c>
      <c r="R51" s="43">
        <f t="shared" si="19"/>
        <v>-1106</v>
      </c>
      <c r="S51" s="36">
        <v>1106000</v>
      </c>
      <c r="T51" s="36">
        <v>1705541</v>
      </c>
      <c r="U51" s="146">
        <f>U8/B8*B51</f>
        <v>416382.91011039069</v>
      </c>
      <c r="V51" s="36">
        <f t="shared" si="20"/>
        <v>-886.11208988960914</v>
      </c>
      <c r="W51" s="36">
        <f t="shared" si="21"/>
        <v>-0.41250000000002274</v>
      </c>
      <c r="X51" s="36">
        <f t="shared" si="22"/>
        <v>-629</v>
      </c>
      <c r="Y51" s="43">
        <f t="shared" si="23"/>
        <v>-0.54999999999995453</v>
      </c>
      <c r="Z51" s="47"/>
      <c r="AA51" s="47"/>
    </row>
    <row r="52" spans="1:27" s="117" customFormat="1" ht="9.9499999999999993" customHeight="1" x14ac:dyDescent="0.15">
      <c r="A52" s="144" t="s">
        <v>108</v>
      </c>
      <c r="B52" s="134">
        <v>0</v>
      </c>
      <c r="C52" s="145">
        <f t="shared" ref="C52:C70" si="28">D52/1000</f>
        <v>10.502000000000001</v>
      </c>
      <c r="D52" s="43">
        <f t="shared" si="24"/>
        <v>10502</v>
      </c>
      <c r="E52" s="36">
        <v>10502</v>
      </c>
      <c r="F52" s="43">
        <f t="shared" ref="F52:F70" si="29">H52/1000</f>
        <v>0</v>
      </c>
      <c r="G52" s="36"/>
      <c r="H52" s="36">
        <f t="shared" si="25"/>
        <v>0</v>
      </c>
      <c r="I52" s="36">
        <v>0</v>
      </c>
      <c r="J52" s="36">
        <v>15</v>
      </c>
      <c r="K52" s="43">
        <f t="shared" ref="K52:K70" si="30">L52/1000</f>
        <v>0</v>
      </c>
      <c r="L52" s="36"/>
      <c r="M52" s="43">
        <f t="shared" ref="M52:M70" si="31">N52/1000*-1</f>
        <v>0</v>
      </c>
      <c r="N52" s="36"/>
      <c r="O52" s="43">
        <f t="shared" ref="O52:O70" si="32">P52/1000*-1</f>
        <v>0</v>
      </c>
      <c r="P52" s="36">
        <f>S52*0.75</f>
        <v>0</v>
      </c>
      <c r="Q52" s="36">
        <v>0</v>
      </c>
      <c r="R52" s="43">
        <f t="shared" ref="R52:R70" si="33">S52/1000*-1</f>
        <v>0</v>
      </c>
      <c r="S52" s="36"/>
      <c r="T52" s="36"/>
      <c r="U52" s="146"/>
      <c r="V52" s="36">
        <f t="shared" ref="V52:V70" si="34">C52+M52</f>
        <v>10.502000000000001</v>
      </c>
      <c r="W52" s="36">
        <f t="shared" ref="W52:W70" si="35">F52+O52</f>
        <v>0</v>
      </c>
      <c r="X52" s="36">
        <f t="shared" ref="X52:X70" si="36">J52+Q52</f>
        <v>15</v>
      </c>
      <c r="Y52" s="43">
        <f t="shared" ref="Y52:Y70" si="37">K52+R52</f>
        <v>0</v>
      </c>
      <c r="Z52" s="47"/>
      <c r="AA52" s="47"/>
    </row>
    <row r="53" spans="1:27" s="118" customFormat="1" ht="9.9499999999999993" customHeight="1" x14ac:dyDescent="0.15">
      <c r="A53" s="142" t="s">
        <v>63</v>
      </c>
      <c r="B53" s="125">
        <f>SUM(B54:B66)</f>
        <v>3.6500000000000008</v>
      </c>
      <c r="C53" s="140">
        <f t="shared" si="28"/>
        <v>3456.7773719029265</v>
      </c>
      <c r="D53" s="41">
        <f t="shared" ref="D53:D70" si="38">E53+U53</f>
        <v>3456777.3719029264</v>
      </c>
      <c r="E53" s="33">
        <f>SUM(E54:E66)</f>
        <v>1936979.75</v>
      </c>
      <c r="F53" s="41">
        <f t="shared" si="29"/>
        <v>4023.44625</v>
      </c>
      <c r="G53" s="33">
        <f>I53/2</f>
        <v>1800000</v>
      </c>
      <c r="H53" s="33">
        <f>H54+H55+H56+H57+H58+H59+H60+H61+H62+H63+H64+H66+H65</f>
        <v>4023446.25</v>
      </c>
      <c r="I53" s="33">
        <v>3600000</v>
      </c>
      <c r="J53" s="33">
        <f>J54+J55+J56+J57+J59+J58+J60+J61+J62+J63+J64+J65+J66</f>
        <v>5826</v>
      </c>
      <c r="K53" s="41">
        <f t="shared" si="30"/>
        <v>5364.5950000000003</v>
      </c>
      <c r="L53" s="33">
        <f>SUM(L54:L66)</f>
        <v>5364595</v>
      </c>
      <c r="M53" s="41">
        <f t="shared" si="31"/>
        <v>-952.827</v>
      </c>
      <c r="N53" s="33">
        <f>SUM(N54:N66)</f>
        <v>952827</v>
      </c>
      <c r="O53" s="41">
        <f t="shared" si="32"/>
        <v>-2662.5</v>
      </c>
      <c r="P53" s="33">
        <f>SUM(P54:P66)</f>
        <v>2662500</v>
      </c>
      <c r="Q53" s="33">
        <f>Q54+Q55+Q56+Q57+Q58+Q59+Q60+Q61+Q62+Q63+Q65+Q64+Q66</f>
        <v>-3550</v>
      </c>
      <c r="R53" s="41">
        <f t="shared" si="33"/>
        <v>-3550</v>
      </c>
      <c r="S53" s="33">
        <f>SUM(S54:S66)</f>
        <v>3550000</v>
      </c>
      <c r="T53" s="33">
        <f>T57+T56+T62</f>
        <v>670279</v>
      </c>
      <c r="U53" s="143">
        <f>U8/B8*B53</f>
        <v>1519797.6219029264</v>
      </c>
      <c r="V53" s="33">
        <f t="shared" si="34"/>
        <v>2503.9503719029262</v>
      </c>
      <c r="W53" s="33">
        <f t="shared" si="35"/>
        <v>1360.94625</v>
      </c>
      <c r="X53" s="33">
        <f t="shared" si="36"/>
        <v>2276</v>
      </c>
      <c r="Y53" s="41">
        <f t="shared" si="37"/>
        <v>1814.5950000000003</v>
      </c>
      <c r="Z53" s="47"/>
      <c r="AA53" s="47"/>
    </row>
    <row r="54" spans="1:27" s="117" customFormat="1" ht="9.9499999999999993" customHeight="1" x14ac:dyDescent="0.15">
      <c r="A54" s="144" t="s">
        <v>19</v>
      </c>
      <c r="B54" s="134">
        <v>1.61</v>
      </c>
      <c r="C54" s="145">
        <f t="shared" si="28"/>
        <v>731.26348527772905</v>
      </c>
      <c r="D54" s="43">
        <f t="shared" si="38"/>
        <v>731263.48527772899</v>
      </c>
      <c r="E54" s="36">
        <v>60887</v>
      </c>
      <c r="F54" s="43">
        <f t="shared" si="29"/>
        <v>761.51625000000001</v>
      </c>
      <c r="G54" s="36"/>
      <c r="H54" s="36">
        <f t="shared" ref="H54:H66" si="39">L54*0.75</f>
        <v>761516.25</v>
      </c>
      <c r="I54" s="36">
        <v>233000</v>
      </c>
      <c r="J54" s="36">
        <v>1050</v>
      </c>
      <c r="K54" s="43">
        <f t="shared" si="30"/>
        <v>1015.355</v>
      </c>
      <c r="L54" s="36">
        <v>1015355</v>
      </c>
      <c r="M54" s="43">
        <f t="shared" si="31"/>
        <v>0</v>
      </c>
      <c r="N54" s="36"/>
      <c r="O54" s="43">
        <f t="shared" si="32"/>
        <v>-187.5</v>
      </c>
      <c r="P54" s="36">
        <f t="shared" ref="P54:P70" si="40">S54*0.75</f>
        <v>187500</v>
      </c>
      <c r="Q54" s="36">
        <v>0</v>
      </c>
      <c r="R54" s="43">
        <f t="shared" si="33"/>
        <v>-250</v>
      </c>
      <c r="S54" s="36">
        <v>250000</v>
      </c>
      <c r="T54" s="36"/>
      <c r="U54" s="146">
        <f>U8/B8*B54</f>
        <v>670376.48527772899</v>
      </c>
      <c r="V54" s="36">
        <f t="shared" si="34"/>
        <v>731.26348527772905</v>
      </c>
      <c r="W54" s="36">
        <f t="shared" si="35"/>
        <v>574.01625000000001</v>
      </c>
      <c r="X54" s="36">
        <f t="shared" si="36"/>
        <v>1050</v>
      </c>
      <c r="Y54" s="43">
        <f t="shared" si="37"/>
        <v>765.35500000000002</v>
      </c>
      <c r="Z54" s="47"/>
      <c r="AA54" s="47"/>
    </row>
    <row r="55" spans="1:27" s="117" customFormat="1" ht="9.9499999999999993" customHeight="1" x14ac:dyDescent="0.15">
      <c r="A55" s="144" t="s">
        <v>107</v>
      </c>
      <c r="B55" s="134">
        <v>0</v>
      </c>
      <c r="C55" s="145">
        <f t="shared" si="28"/>
        <v>26.571000000000002</v>
      </c>
      <c r="D55" s="43">
        <f t="shared" si="38"/>
        <v>26571</v>
      </c>
      <c r="E55" s="36">
        <v>26571</v>
      </c>
      <c r="F55" s="43">
        <f t="shared" si="29"/>
        <v>0</v>
      </c>
      <c r="G55" s="36"/>
      <c r="H55" s="36">
        <f t="shared" si="39"/>
        <v>0</v>
      </c>
      <c r="I55" s="36">
        <v>0</v>
      </c>
      <c r="J55" s="36">
        <v>35</v>
      </c>
      <c r="K55" s="43">
        <f t="shared" si="30"/>
        <v>0</v>
      </c>
      <c r="L55" s="36"/>
      <c r="M55" s="43">
        <f t="shared" si="31"/>
        <v>0</v>
      </c>
      <c r="N55" s="36"/>
      <c r="O55" s="43">
        <f t="shared" si="32"/>
        <v>0</v>
      </c>
      <c r="P55" s="36">
        <f t="shared" si="40"/>
        <v>0</v>
      </c>
      <c r="Q55" s="36">
        <v>0</v>
      </c>
      <c r="R55" s="43">
        <f t="shared" si="33"/>
        <v>0</v>
      </c>
      <c r="S55" s="36"/>
      <c r="T55" s="36"/>
      <c r="U55" s="146">
        <f>U8/B8*B55</f>
        <v>0</v>
      </c>
      <c r="V55" s="36">
        <f t="shared" si="34"/>
        <v>26.571000000000002</v>
      </c>
      <c r="W55" s="36">
        <f t="shared" si="35"/>
        <v>0</v>
      </c>
      <c r="X55" s="36">
        <f t="shared" si="36"/>
        <v>35</v>
      </c>
      <c r="Y55" s="43">
        <f t="shared" si="37"/>
        <v>0</v>
      </c>
      <c r="Z55" s="47"/>
      <c r="AA55" s="47"/>
    </row>
    <row r="56" spans="1:27" s="117" customFormat="1" ht="9.9499999999999993" customHeight="1" x14ac:dyDescent="0.15">
      <c r="A56" s="144" t="s">
        <v>20</v>
      </c>
      <c r="B56" s="134">
        <v>0.4</v>
      </c>
      <c r="C56" s="145">
        <f t="shared" si="28"/>
        <v>267.27016404415633</v>
      </c>
      <c r="D56" s="43">
        <f t="shared" si="38"/>
        <v>267270.16404415632</v>
      </c>
      <c r="E56" s="36">
        <v>100717</v>
      </c>
      <c r="F56" s="43">
        <f t="shared" si="29"/>
        <v>520.03499999999997</v>
      </c>
      <c r="G56" s="36"/>
      <c r="H56" s="36">
        <f t="shared" si="39"/>
        <v>520035</v>
      </c>
      <c r="I56" s="36">
        <v>500000</v>
      </c>
      <c r="J56" s="36">
        <v>700</v>
      </c>
      <c r="K56" s="43">
        <f t="shared" si="30"/>
        <v>693.38</v>
      </c>
      <c r="L56" s="36">
        <v>693380</v>
      </c>
      <c r="M56" s="43">
        <f t="shared" si="31"/>
        <v>-249.328</v>
      </c>
      <c r="N56" s="36">
        <f>225000+24328</f>
        <v>249328</v>
      </c>
      <c r="O56" s="43">
        <f t="shared" si="32"/>
        <v>-375</v>
      </c>
      <c r="P56" s="36">
        <f t="shared" si="40"/>
        <v>375000</v>
      </c>
      <c r="Q56" s="36">
        <v>-500</v>
      </c>
      <c r="R56" s="43">
        <f t="shared" si="33"/>
        <v>-500</v>
      </c>
      <c r="S56" s="36">
        <v>500000</v>
      </c>
      <c r="T56" s="36">
        <f>225000+24328+123452</f>
        <v>372780</v>
      </c>
      <c r="U56" s="146">
        <f>U8/B8*B56</f>
        <v>166553.16404415629</v>
      </c>
      <c r="V56" s="36">
        <f t="shared" si="34"/>
        <v>17.942164044156328</v>
      </c>
      <c r="W56" s="36">
        <f t="shared" si="35"/>
        <v>145.03499999999997</v>
      </c>
      <c r="X56" s="36">
        <f t="shared" si="36"/>
        <v>200</v>
      </c>
      <c r="Y56" s="43">
        <f t="shared" si="37"/>
        <v>193.38</v>
      </c>
      <c r="Z56" s="47"/>
      <c r="AA56" s="47"/>
    </row>
    <row r="57" spans="1:27" s="117" customFormat="1" ht="9.9499999999999993" customHeight="1" x14ac:dyDescent="0.15">
      <c r="A57" s="144" t="s">
        <v>21</v>
      </c>
      <c r="B57" s="134">
        <v>0.35</v>
      </c>
      <c r="C57" s="145">
        <f t="shared" si="28"/>
        <v>935.31901853863678</v>
      </c>
      <c r="D57" s="43">
        <f t="shared" si="38"/>
        <v>935319.01853863674</v>
      </c>
      <c r="E57" s="36">
        <v>789585</v>
      </c>
      <c r="F57" s="43">
        <f t="shared" si="29"/>
        <v>1473.1559999999999</v>
      </c>
      <c r="G57" s="36"/>
      <c r="H57" s="36">
        <f t="shared" si="39"/>
        <v>1473156</v>
      </c>
      <c r="I57" s="36">
        <v>1795000</v>
      </c>
      <c r="J57" s="36">
        <v>2000</v>
      </c>
      <c r="K57" s="43">
        <f t="shared" si="30"/>
        <v>1964.2080000000001</v>
      </c>
      <c r="L57" s="36">
        <v>1964208</v>
      </c>
      <c r="M57" s="43">
        <f t="shared" si="31"/>
        <v>-72.498999999999995</v>
      </c>
      <c r="N57" s="36">
        <f>74205-361-1345</f>
        <v>72499</v>
      </c>
      <c r="O57" s="43">
        <f t="shared" si="32"/>
        <v>-1500</v>
      </c>
      <c r="P57" s="36">
        <f t="shared" si="40"/>
        <v>1500000</v>
      </c>
      <c r="Q57" s="36">
        <v>-2000</v>
      </c>
      <c r="R57" s="43">
        <f t="shared" si="33"/>
        <v>-2000</v>
      </c>
      <c r="S57" s="36">
        <v>2000000</v>
      </c>
      <c r="T57" s="36">
        <f>74205-361-1345</f>
        <v>72499</v>
      </c>
      <c r="U57" s="146">
        <f>U8/B8*B57</f>
        <v>145734.01853863674</v>
      </c>
      <c r="V57" s="36">
        <f t="shared" si="34"/>
        <v>862.82001853863676</v>
      </c>
      <c r="W57" s="36">
        <f t="shared" si="35"/>
        <v>-26.844000000000051</v>
      </c>
      <c r="X57" s="36">
        <f t="shared" si="36"/>
        <v>0</v>
      </c>
      <c r="Y57" s="43">
        <f t="shared" si="37"/>
        <v>-35.791999999999916</v>
      </c>
      <c r="Z57" s="47"/>
      <c r="AA57" s="47"/>
    </row>
    <row r="58" spans="1:27" s="117" customFormat="1" ht="9.9499999999999993" customHeight="1" x14ac:dyDescent="0.15">
      <c r="A58" s="144" t="s">
        <v>117</v>
      </c>
      <c r="B58" s="134"/>
      <c r="C58" s="145">
        <f t="shared" si="28"/>
        <v>274.89800000000002</v>
      </c>
      <c r="D58" s="43">
        <f t="shared" si="38"/>
        <v>274898</v>
      </c>
      <c r="E58" s="36">
        <v>274898</v>
      </c>
      <c r="F58" s="43">
        <f t="shared" si="29"/>
        <v>0</v>
      </c>
      <c r="G58" s="36"/>
      <c r="H58" s="36">
        <f t="shared" si="39"/>
        <v>0</v>
      </c>
      <c r="I58" s="36"/>
      <c r="J58" s="36">
        <v>275</v>
      </c>
      <c r="K58" s="43">
        <f t="shared" si="30"/>
        <v>0</v>
      </c>
      <c r="L58" s="36"/>
      <c r="M58" s="43">
        <f t="shared" si="31"/>
        <v>0</v>
      </c>
      <c r="N58" s="36"/>
      <c r="O58" s="43">
        <f t="shared" si="32"/>
        <v>-375</v>
      </c>
      <c r="P58" s="36">
        <f t="shared" si="40"/>
        <v>375000</v>
      </c>
      <c r="Q58" s="36">
        <v>-275</v>
      </c>
      <c r="R58" s="43">
        <f t="shared" si="33"/>
        <v>-500</v>
      </c>
      <c r="S58" s="36">
        <v>500000</v>
      </c>
      <c r="T58" s="36"/>
      <c r="U58" s="146"/>
      <c r="V58" s="36">
        <f t="shared" si="34"/>
        <v>274.89800000000002</v>
      </c>
      <c r="W58" s="36">
        <f t="shared" si="35"/>
        <v>-375</v>
      </c>
      <c r="X58" s="36">
        <f t="shared" si="36"/>
        <v>0</v>
      </c>
      <c r="Y58" s="43">
        <f t="shared" si="37"/>
        <v>-500</v>
      </c>
      <c r="Z58" s="47"/>
      <c r="AA58" s="47"/>
    </row>
    <row r="59" spans="1:27" s="117" customFormat="1" ht="9.9499999999999993" customHeight="1" x14ac:dyDescent="0.15">
      <c r="A59" s="144" t="s">
        <v>106</v>
      </c>
      <c r="B59" s="134"/>
      <c r="C59" s="145">
        <f t="shared" si="28"/>
        <v>7.8040000000000003</v>
      </c>
      <c r="D59" s="43">
        <f t="shared" si="38"/>
        <v>7804</v>
      </c>
      <c r="E59" s="36">
        <v>7804</v>
      </c>
      <c r="F59" s="43">
        <f t="shared" si="29"/>
        <v>0</v>
      </c>
      <c r="G59" s="36"/>
      <c r="H59" s="36">
        <f t="shared" si="39"/>
        <v>0</v>
      </c>
      <c r="I59" s="36"/>
      <c r="J59" s="36">
        <v>15</v>
      </c>
      <c r="K59" s="43">
        <f t="shared" si="30"/>
        <v>0</v>
      </c>
      <c r="L59" s="36"/>
      <c r="M59" s="43">
        <f t="shared" si="31"/>
        <v>0</v>
      </c>
      <c r="N59" s="36"/>
      <c r="O59" s="43">
        <f t="shared" si="32"/>
        <v>0</v>
      </c>
      <c r="P59" s="36">
        <f t="shared" si="40"/>
        <v>0</v>
      </c>
      <c r="Q59" s="36">
        <v>0</v>
      </c>
      <c r="R59" s="43">
        <f t="shared" si="33"/>
        <v>0</v>
      </c>
      <c r="S59" s="36"/>
      <c r="T59" s="36"/>
      <c r="U59" s="146"/>
      <c r="V59" s="36">
        <f t="shared" si="34"/>
        <v>7.8040000000000003</v>
      </c>
      <c r="W59" s="36">
        <f t="shared" si="35"/>
        <v>0</v>
      </c>
      <c r="X59" s="36">
        <f t="shared" si="36"/>
        <v>15</v>
      </c>
      <c r="Y59" s="43">
        <f t="shared" si="37"/>
        <v>0</v>
      </c>
      <c r="Z59" s="47"/>
      <c r="AA59" s="47"/>
    </row>
    <row r="60" spans="1:27" s="117" customFormat="1" ht="9.9499999999999993" customHeight="1" x14ac:dyDescent="0.15">
      <c r="A60" s="144" t="s">
        <v>105</v>
      </c>
      <c r="B60" s="134"/>
      <c r="C60" s="145">
        <f t="shared" si="28"/>
        <v>50</v>
      </c>
      <c r="D60" s="43">
        <f t="shared" si="38"/>
        <v>50000</v>
      </c>
      <c r="E60" s="36">
        <v>50000</v>
      </c>
      <c r="F60" s="43">
        <f t="shared" si="29"/>
        <v>0</v>
      </c>
      <c r="G60" s="36"/>
      <c r="H60" s="36">
        <f t="shared" si="39"/>
        <v>0</v>
      </c>
      <c r="I60" s="36"/>
      <c r="J60" s="36">
        <v>100</v>
      </c>
      <c r="K60" s="43">
        <f t="shared" si="30"/>
        <v>0</v>
      </c>
      <c r="L60" s="36"/>
      <c r="M60" s="43">
        <f t="shared" si="31"/>
        <v>0</v>
      </c>
      <c r="N60" s="36"/>
      <c r="O60" s="43">
        <f t="shared" si="32"/>
        <v>0</v>
      </c>
      <c r="P60" s="36">
        <f t="shared" si="40"/>
        <v>0</v>
      </c>
      <c r="Q60" s="36">
        <v>0</v>
      </c>
      <c r="R60" s="43">
        <f t="shared" si="33"/>
        <v>0</v>
      </c>
      <c r="S60" s="36"/>
      <c r="T60" s="36"/>
      <c r="U60" s="146"/>
      <c r="V60" s="36">
        <f t="shared" si="34"/>
        <v>50</v>
      </c>
      <c r="W60" s="36">
        <f t="shared" si="35"/>
        <v>0</v>
      </c>
      <c r="X60" s="36">
        <f t="shared" si="36"/>
        <v>100</v>
      </c>
      <c r="Y60" s="43">
        <f t="shared" si="37"/>
        <v>0</v>
      </c>
      <c r="Z60" s="47"/>
      <c r="AA60" s="47"/>
    </row>
    <row r="61" spans="1:27" s="117" customFormat="1" ht="9.9499999999999993" customHeight="1" x14ac:dyDescent="0.15">
      <c r="A61" s="144" t="s">
        <v>103</v>
      </c>
      <c r="B61" s="134">
        <v>0.45</v>
      </c>
      <c r="C61" s="145">
        <f t="shared" si="28"/>
        <v>436.6143095496758</v>
      </c>
      <c r="D61" s="43">
        <f t="shared" si="38"/>
        <v>436614.30954967579</v>
      </c>
      <c r="E61" s="36">
        <v>249242</v>
      </c>
      <c r="F61" s="43">
        <f t="shared" si="29"/>
        <v>619.16475000000003</v>
      </c>
      <c r="G61" s="36"/>
      <c r="H61" s="36">
        <f t="shared" si="39"/>
        <v>619164.75</v>
      </c>
      <c r="I61" s="36">
        <v>608000</v>
      </c>
      <c r="J61" s="36">
        <v>485</v>
      </c>
      <c r="K61" s="43">
        <f t="shared" si="30"/>
        <v>825.553</v>
      </c>
      <c r="L61" s="36">
        <v>825553</v>
      </c>
      <c r="M61" s="43">
        <f t="shared" si="31"/>
        <v>-250</v>
      </c>
      <c r="N61" s="36">
        <v>250000</v>
      </c>
      <c r="O61" s="43">
        <f t="shared" si="32"/>
        <v>0</v>
      </c>
      <c r="P61" s="36">
        <f t="shared" si="40"/>
        <v>0</v>
      </c>
      <c r="Q61" s="36">
        <v>-250</v>
      </c>
      <c r="R61" s="43">
        <f t="shared" si="33"/>
        <v>0</v>
      </c>
      <c r="S61" s="36"/>
      <c r="T61" s="36">
        <v>250000</v>
      </c>
      <c r="U61" s="146">
        <f>U8/B8*B61</f>
        <v>187372.30954967582</v>
      </c>
      <c r="V61" s="36">
        <f t="shared" si="34"/>
        <v>186.6143095496758</v>
      </c>
      <c r="W61" s="36">
        <f t="shared" si="35"/>
        <v>619.16475000000003</v>
      </c>
      <c r="X61" s="36">
        <f t="shared" si="36"/>
        <v>235</v>
      </c>
      <c r="Y61" s="43">
        <f t="shared" si="37"/>
        <v>825.553</v>
      </c>
      <c r="Z61" s="47"/>
      <c r="AA61" s="47"/>
    </row>
    <row r="62" spans="1:27" s="117" customFormat="1" ht="9.9499999999999993" customHeight="1" x14ac:dyDescent="0.15">
      <c r="A62" s="144" t="s">
        <v>104</v>
      </c>
      <c r="B62" s="134"/>
      <c r="C62" s="145">
        <f t="shared" si="28"/>
        <v>201.489</v>
      </c>
      <c r="D62" s="43">
        <f t="shared" si="38"/>
        <v>201489</v>
      </c>
      <c r="E62" s="36">
        <v>201489</v>
      </c>
      <c r="F62" s="43">
        <f t="shared" si="29"/>
        <v>0</v>
      </c>
      <c r="G62" s="36" t="s">
        <v>33</v>
      </c>
      <c r="H62" s="36">
        <f t="shared" si="39"/>
        <v>0</v>
      </c>
      <c r="I62" s="36">
        <v>0</v>
      </c>
      <c r="J62" s="36">
        <v>201</v>
      </c>
      <c r="K62" s="43">
        <f t="shared" si="30"/>
        <v>0</v>
      </c>
      <c r="L62" s="36"/>
      <c r="M62" s="43">
        <f t="shared" si="31"/>
        <v>-225</v>
      </c>
      <c r="N62" s="36">
        <v>225000</v>
      </c>
      <c r="O62" s="43">
        <f t="shared" si="32"/>
        <v>0</v>
      </c>
      <c r="P62" s="36">
        <f t="shared" si="40"/>
        <v>0</v>
      </c>
      <c r="Q62" s="36">
        <v>-225</v>
      </c>
      <c r="R62" s="43">
        <f t="shared" si="33"/>
        <v>0</v>
      </c>
      <c r="S62" s="36"/>
      <c r="T62" s="36">
        <v>225000</v>
      </c>
      <c r="U62" s="146"/>
      <c r="V62" s="36">
        <f t="shared" si="34"/>
        <v>-23.510999999999996</v>
      </c>
      <c r="W62" s="36">
        <f t="shared" si="35"/>
        <v>0</v>
      </c>
      <c r="X62" s="36">
        <f t="shared" si="36"/>
        <v>-24</v>
      </c>
      <c r="Y62" s="43">
        <f t="shared" si="37"/>
        <v>0</v>
      </c>
      <c r="Z62" s="47"/>
      <c r="AA62" s="47"/>
    </row>
    <row r="63" spans="1:27" s="117" customFormat="1" ht="9.9499999999999993" customHeight="1" x14ac:dyDescent="0.15">
      <c r="A63" s="144" t="s">
        <v>118</v>
      </c>
      <c r="B63" s="134">
        <v>0.39</v>
      </c>
      <c r="C63" s="145">
        <f t="shared" si="28"/>
        <v>176.73333494305237</v>
      </c>
      <c r="D63" s="43">
        <f t="shared" si="38"/>
        <v>176733.33494305238</v>
      </c>
      <c r="E63" s="36">
        <v>14344</v>
      </c>
      <c r="F63" s="43">
        <f t="shared" si="29"/>
        <v>141.40950000000001</v>
      </c>
      <c r="G63" s="36"/>
      <c r="H63" s="36">
        <f t="shared" si="39"/>
        <v>141409.5</v>
      </c>
      <c r="I63" s="36">
        <v>0</v>
      </c>
      <c r="J63" s="36">
        <v>235</v>
      </c>
      <c r="K63" s="43">
        <f t="shared" si="30"/>
        <v>188.54599999999999</v>
      </c>
      <c r="L63" s="36">
        <v>188546</v>
      </c>
      <c r="M63" s="43">
        <f t="shared" si="31"/>
        <v>0</v>
      </c>
      <c r="N63" s="36"/>
      <c r="O63" s="43">
        <f t="shared" si="32"/>
        <v>0</v>
      </c>
      <c r="P63" s="36">
        <f t="shared" si="40"/>
        <v>0</v>
      </c>
      <c r="Q63" s="36">
        <v>0</v>
      </c>
      <c r="R63" s="43">
        <f t="shared" si="33"/>
        <v>0</v>
      </c>
      <c r="S63" s="36"/>
      <c r="T63" s="36"/>
      <c r="U63" s="146">
        <f>U8/B8*B63</f>
        <v>162389.33494305238</v>
      </c>
      <c r="V63" s="36">
        <f t="shared" si="34"/>
        <v>176.73333494305237</v>
      </c>
      <c r="W63" s="36">
        <f t="shared" si="35"/>
        <v>141.40950000000001</v>
      </c>
      <c r="X63" s="36">
        <f t="shared" si="36"/>
        <v>235</v>
      </c>
      <c r="Y63" s="43">
        <f t="shared" si="37"/>
        <v>188.54599999999999</v>
      </c>
      <c r="Z63" s="47"/>
      <c r="AA63" s="47"/>
    </row>
    <row r="64" spans="1:27" s="117" customFormat="1" ht="9.9499999999999993" customHeight="1" x14ac:dyDescent="0.15">
      <c r="A64" s="144" t="s">
        <v>110</v>
      </c>
      <c r="B64" s="134">
        <v>0</v>
      </c>
      <c r="C64" s="145">
        <f t="shared" si="28"/>
        <v>60</v>
      </c>
      <c r="D64" s="43">
        <f t="shared" si="38"/>
        <v>60000</v>
      </c>
      <c r="E64" s="36">
        <v>60000</v>
      </c>
      <c r="F64" s="43">
        <f t="shared" si="29"/>
        <v>37.5</v>
      </c>
      <c r="G64" s="36"/>
      <c r="H64" s="36">
        <f t="shared" si="39"/>
        <v>37500</v>
      </c>
      <c r="I64" s="36">
        <v>50000</v>
      </c>
      <c r="J64" s="36">
        <v>60</v>
      </c>
      <c r="K64" s="43">
        <f t="shared" si="30"/>
        <v>50</v>
      </c>
      <c r="L64" s="36">
        <v>50000</v>
      </c>
      <c r="M64" s="43">
        <f t="shared" si="31"/>
        <v>0</v>
      </c>
      <c r="N64" s="36"/>
      <c r="O64" s="43">
        <f t="shared" si="32"/>
        <v>0</v>
      </c>
      <c r="P64" s="36">
        <f t="shared" si="40"/>
        <v>0</v>
      </c>
      <c r="Q64" s="36">
        <v>0</v>
      </c>
      <c r="R64" s="43">
        <f t="shared" si="33"/>
        <v>0</v>
      </c>
      <c r="S64" s="36"/>
      <c r="T64" s="36"/>
      <c r="U64" s="146"/>
      <c r="V64" s="36">
        <f t="shared" si="34"/>
        <v>60</v>
      </c>
      <c r="W64" s="36">
        <f t="shared" si="35"/>
        <v>37.5</v>
      </c>
      <c r="X64" s="36">
        <f t="shared" si="36"/>
        <v>60</v>
      </c>
      <c r="Y64" s="43">
        <f t="shared" si="37"/>
        <v>50</v>
      </c>
      <c r="Z64" s="47"/>
      <c r="AA64" s="47"/>
    </row>
    <row r="65" spans="1:27" s="117" customFormat="1" ht="9.9499999999999993" customHeight="1" x14ac:dyDescent="0.15">
      <c r="A65" s="144" t="s">
        <v>93</v>
      </c>
      <c r="B65" s="134">
        <v>0.35</v>
      </c>
      <c r="C65" s="145">
        <f t="shared" si="28"/>
        <v>246.31501853863674</v>
      </c>
      <c r="D65" s="43">
        <f t="shared" si="38"/>
        <v>246315.01853863674</v>
      </c>
      <c r="E65" s="36">
        <v>100581</v>
      </c>
      <c r="F65" s="43">
        <f t="shared" si="29"/>
        <v>434.40600000000001</v>
      </c>
      <c r="G65" s="36"/>
      <c r="H65" s="36">
        <f t="shared" si="39"/>
        <v>434406</v>
      </c>
      <c r="I65" s="36">
        <v>410000</v>
      </c>
      <c r="J65" s="36">
        <v>615</v>
      </c>
      <c r="K65" s="43">
        <f t="shared" si="30"/>
        <v>579.20799999999997</v>
      </c>
      <c r="L65" s="36">
        <v>579208</v>
      </c>
      <c r="M65" s="43">
        <f t="shared" si="31"/>
        <v>-156</v>
      </c>
      <c r="N65" s="36">
        <v>156000</v>
      </c>
      <c r="O65" s="43">
        <f t="shared" si="32"/>
        <v>-225</v>
      </c>
      <c r="P65" s="36">
        <f t="shared" si="40"/>
        <v>225000</v>
      </c>
      <c r="Q65" s="36">
        <v>-300</v>
      </c>
      <c r="R65" s="43">
        <f t="shared" si="33"/>
        <v>-300</v>
      </c>
      <c r="S65" s="36">
        <v>300000</v>
      </c>
      <c r="T65" s="36">
        <v>156000</v>
      </c>
      <c r="U65" s="146">
        <f>U8/B8*B65</f>
        <v>145734.01853863674</v>
      </c>
      <c r="V65" s="36">
        <f t="shared" si="34"/>
        <v>90.315018538636735</v>
      </c>
      <c r="W65" s="36">
        <f t="shared" si="35"/>
        <v>209.40600000000001</v>
      </c>
      <c r="X65" s="36">
        <f t="shared" si="36"/>
        <v>315</v>
      </c>
      <c r="Y65" s="43">
        <f t="shared" si="37"/>
        <v>279.20799999999997</v>
      </c>
      <c r="Z65" s="47"/>
      <c r="AA65" s="47"/>
    </row>
    <row r="66" spans="1:27" s="117" customFormat="1" ht="9.9499999999999993" customHeight="1" x14ac:dyDescent="0.15">
      <c r="A66" s="144" t="s">
        <v>94</v>
      </c>
      <c r="B66" s="134">
        <v>0.1</v>
      </c>
      <c r="C66" s="145">
        <f t="shared" si="28"/>
        <v>42.500041011039073</v>
      </c>
      <c r="D66" s="43">
        <f t="shared" si="38"/>
        <v>42500.041011039073</v>
      </c>
      <c r="E66" s="36">
        <f>658+203.75</f>
        <v>861.75</v>
      </c>
      <c r="F66" s="43">
        <f t="shared" si="29"/>
        <v>36.258749999999999</v>
      </c>
      <c r="G66" s="36"/>
      <c r="H66" s="36">
        <f t="shared" si="39"/>
        <v>36258.75</v>
      </c>
      <c r="I66" s="36">
        <v>0</v>
      </c>
      <c r="J66" s="36">
        <v>55</v>
      </c>
      <c r="K66" s="43">
        <f t="shared" si="30"/>
        <v>48.344999999999999</v>
      </c>
      <c r="L66" s="36">
        <v>48345</v>
      </c>
      <c r="M66" s="43">
        <f t="shared" si="31"/>
        <v>0</v>
      </c>
      <c r="N66" s="36"/>
      <c r="O66" s="43">
        <f t="shared" si="32"/>
        <v>0</v>
      </c>
      <c r="P66" s="36">
        <f t="shared" si="40"/>
        <v>0</v>
      </c>
      <c r="Q66" s="36">
        <v>0</v>
      </c>
      <c r="R66" s="43">
        <f t="shared" si="33"/>
        <v>0</v>
      </c>
      <c r="S66" s="36"/>
      <c r="T66" s="36"/>
      <c r="U66" s="146">
        <f>U8/B8*B66</f>
        <v>41638.291011039073</v>
      </c>
      <c r="V66" s="36">
        <f t="shared" si="34"/>
        <v>42.500041011039073</v>
      </c>
      <c r="W66" s="36">
        <f t="shared" si="35"/>
        <v>36.258749999999999</v>
      </c>
      <c r="X66" s="36">
        <f t="shared" si="36"/>
        <v>55</v>
      </c>
      <c r="Y66" s="43">
        <f t="shared" si="37"/>
        <v>48.344999999999999</v>
      </c>
      <c r="Z66" s="47"/>
      <c r="AA66" s="47"/>
    </row>
    <row r="67" spans="1:27" s="118" customFormat="1" ht="9.9499999999999993" customHeight="1" x14ac:dyDescent="0.15">
      <c r="A67" s="142" t="s">
        <v>64</v>
      </c>
      <c r="B67" s="125">
        <f>SUM(B68:B70)</f>
        <v>0.3</v>
      </c>
      <c r="C67" s="140">
        <f t="shared" si="28"/>
        <v>128.33389303311719</v>
      </c>
      <c r="D67" s="41">
        <f t="shared" si="38"/>
        <v>128333.8930331172</v>
      </c>
      <c r="E67" s="33">
        <f>E68+E69+E70</f>
        <v>3419.02</v>
      </c>
      <c r="F67" s="41">
        <f t="shared" si="29"/>
        <v>183.77699999999999</v>
      </c>
      <c r="G67" s="33">
        <f>I67/2</f>
        <v>50000</v>
      </c>
      <c r="H67" s="33">
        <f>H68+H69+H70</f>
        <v>183777</v>
      </c>
      <c r="I67" s="33">
        <v>100000</v>
      </c>
      <c r="J67" s="33">
        <f>J68+J69+J70</f>
        <v>409</v>
      </c>
      <c r="K67" s="41">
        <f t="shared" si="30"/>
        <v>245.036</v>
      </c>
      <c r="L67" s="33">
        <f>L68+L69+L70</f>
        <v>245036</v>
      </c>
      <c r="M67" s="41">
        <f t="shared" si="31"/>
        <v>0</v>
      </c>
      <c r="N67" s="33"/>
      <c r="O67" s="41">
        <f t="shared" si="32"/>
        <v>0</v>
      </c>
      <c r="P67" s="33">
        <f t="shared" si="40"/>
        <v>0</v>
      </c>
      <c r="Q67" s="33">
        <v>0</v>
      </c>
      <c r="R67" s="41">
        <f t="shared" si="33"/>
        <v>0</v>
      </c>
      <c r="S67" s="33"/>
      <c r="T67" s="33"/>
      <c r="U67" s="143">
        <f>U8/B8*B67</f>
        <v>124914.8730331172</v>
      </c>
      <c r="V67" s="33">
        <f t="shared" si="34"/>
        <v>128.33389303311719</v>
      </c>
      <c r="W67" s="33">
        <f t="shared" si="35"/>
        <v>183.77699999999999</v>
      </c>
      <c r="X67" s="33">
        <f t="shared" si="36"/>
        <v>409</v>
      </c>
      <c r="Y67" s="41">
        <f t="shared" si="37"/>
        <v>245.036</v>
      </c>
      <c r="Z67" s="47"/>
      <c r="AA67" s="47"/>
    </row>
    <row r="68" spans="1:27" s="117" customFormat="1" ht="9.9499999999999993" customHeight="1" x14ac:dyDescent="0.15">
      <c r="A68" s="144" t="s">
        <v>35</v>
      </c>
      <c r="B68" s="134">
        <v>0.05</v>
      </c>
      <c r="C68" s="145">
        <f t="shared" si="28"/>
        <v>20.819145505519536</v>
      </c>
      <c r="D68" s="43">
        <f t="shared" si="38"/>
        <v>20819.145505519537</v>
      </c>
      <c r="E68" s="36">
        <v>0</v>
      </c>
      <c r="F68" s="43">
        <f t="shared" si="29"/>
        <v>93.129750000000001</v>
      </c>
      <c r="G68" s="36">
        <v>50000</v>
      </c>
      <c r="H68" s="36">
        <f>L68*0.75</f>
        <v>93129.75</v>
      </c>
      <c r="I68" s="36">
        <v>100000</v>
      </c>
      <c r="J68" s="36">
        <v>124</v>
      </c>
      <c r="K68" s="43">
        <f t="shared" si="30"/>
        <v>124.173</v>
      </c>
      <c r="L68" s="36">
        <v>124173</v>
      </c>
      <c r="M68" s="43">
        <f t="shared" si="31"/>
        <v>0</v>
      </c>
      <c r="N68" s="36"/>
      <c r="O68" s="43">
        <f t="shared" si="32"/>
        <v>0</v>
      </c>
      <c r="P68" s="33">
        <f t="shared" si="40"/>
        <v>0</v>
      </c>
      <c r="Q68" s="36">
        <v>0</v>
      </c>
      <c r="R68" s="43">
        <f t="shared" si="33"/>
        <v>0</v>
      </c>
      <c r="S68" s="36"/>
      <c r="T68" s="36"/>
      <c r="U68" s="146">
        <f>U8/B8*B68</f>
        <v>20819.145505519537</v>
      </c>
      <c r="V68" s="36">
        <f t="shared" si="34"/>
        <v>20.819145505519536</v>
      </c>
      <c r="W68" s="36">
        <f t="shared" si="35"/>
        <v>93.129750000000001</v>
      </c>
      <c r="X68" s="36">
        <f t="shared" si="36"/>
        <v>124</v>
      </c>
      <c r="Y68" s="43">
        <f t="shared" si="37"/>
        <v>124.173</v>
      </c>
      <c r="Z68" s="47"/>
      <c r="AA68" s="47"/>
    </row>
    <row r="69" spans="1:27" s="117" customFormat="1" ht="9.9499999999999993" customHeight="1" x14ac:dyDescent="0.15">
      <c r="A69" s="144" t="s">
        <v>22</v>
      </c>
      <c r="B69" s="134">
        <v>0</v>
      </c>
      <c r="C69" s="145">
        <f t="shared" si="28"/>
        <v>3.4190200000000002</v>
      </c>
      <c r="D69" s="43">
        <f t="shared" si="38"/>
        <v>3419.02</v>
      </c>
      <c r="E69" s="36">
        <f>3298.02+121</f>
        <v>3419.02</v>
      </c>
      <c r="F69" s="43">
        <f t="shared" si="29"/>
        <v>0</v>
      </c>
      <c r="G69" s="36">
        <v>0</v>
      </c>
      <c r="H69" s="36">
        <f>L69*0.75</f>
        <v>0</v>
      </c>
      <c r="I69" s="36">
        <v>0</v>
      </c>
      <c r="J69" s="36">
        <v>150</v>
      </c>
      <c r="K69" s="43">
        <f t="shared" si="30"/>
        <v>0</v>
      </c>
      <c r="L69" s="36"/>
      <c r="M69" s="43">
        <f t="shared" si="31"/>
        <v>0</v>
      </c>
      <c r="N69" s="36"/>
      <c r="O69" s="43">
        <f t="shared" si="32"/>
        <v>0</v>
      </c>
      <c r="P69" s="33">
        <f t="shared" si="40"/>
        <v>0</v>
      </c>
      <c r="Q69" s="36">
        <v>0</v>
      </c>
      <c r="R69" s="43">
        <f t="shared" si="33"/>
        <v>0</v>
      </c>
      <c r="S69" s="36"/>
      <c r="T69" s="36"/>
      <c r="U69" s="146"/>
      <c r="V69" s="36">
        <f t="shared" si="34"/>
        <v>3.4190200000000002</v>
      </c>
      <c r="W69" s="36">
        <f t="shared" si="35"/>
        <v>0</v>
      </c>
      <c r="X69" s="36">
        <f t="shared" si="36"/>
        <v>150</v>
      </c>
      <c r="Y69" s="43">
        <f t="shared" si="37"/>
        <v>0</v>
      </c>
      <c r="Z69" s="47"/>
      <c r="AA69" s="47"/>
    </row>
    <row r="70" spans="1:27" s="117" customFormat="1" ht="9.9499999999999993" customHeight="1" x14ac:dyDescent="0.15">
      <c r="A70" s="144" t="s">
        <v>37</v>
      </c>
      <c r="B70" s="134">
        <v>0.25</v>
      </c>
      <c r="C70" s="145">
        <f t="shared" si="28"/>
        <v>104.09572752759767</v>
      </c>
      <c r="D70" s="43">
        <f t="shared" si="38"/>
        <v>104095.72752759767</v>
      </c>
      <c r="E70" s="36"/>
      <c r="F70" s="43">
        <f t="shared" si="29"/>
        <v>90.64725</v>
      </c>
      <c r="G70" s="36"/>
      <c r="H70" s="36">
        <f>L70*0.75</f>
        <v>90647.25</v>
      </c>
      <c r="I70" s="36"/>
      <c r="J70" s="36">
        <v>135</v>
      </c>
      <c r="K70" s="43">
        <f t="shared" si="30"/>
        <v>120.863</v>
      </c>
      <c r="L70" s="36">
        <f>48345+72518</f>
        <v>120863</v>
      </c>
      <c r="M70" s="43">
        <f t="shared" si="31"/>
        <v>0</v>
      </c>
      <c r="N70" s="36"/>
      <c r="O70" s="43">
        <f t="shared" si="32"/>
        <v>0</v>
      </c>
      <c r="P70" s="33">
        <f t="shared" si="40"/>
        <v>0</v>
      </c>
      <c r="Q70" s="36">
        <v>0</v>
      </c>
      <c r="R70" s="43">
        <f t="shared" si="33"/>
        <v>0</v>
      </c>
      <c r="S70" s="36"/>
      <c r="T70" s="36"/>
      <c r="U70" s="146">
        <f>U8/B8*B70</f>
        <v>104095.72752759767</v>
      </c>
      <c r="V70" s="36">
        <f t="shared" si="34"/>
        <v>104.09572752759767</v>
      </c>
      <c r="W70" s="36">
        <f t="shared" si="35"/>
        <v>90.64725</v>
      </c>
      <c r="X70" s="36">
        <f t="shared" si="36"/>
        <v>135</v>
      </c>
      <c r="Y70" s="43">
        <f t="shared" si="37"/>
        <v>120.863</v>
      </c>
      <c r="Z70" s="47"/>
      <c r="AA70" s="47"/>
    </row>
    <row r="71" spans="1:27" s="117" customFormat="1" ht="9" customHeight="1" x14ac:dyDescent="0.15">
      <c r="A71" s="144"/>
      <c r="B71" s="134"/>
      <c r="C71" s="140"/>
      <c r="D71" s="41"/>
      <c r="E71" s="36"/>
      <c r="F71" s="41"/>
      <c r="G71" s="36"/>
      <c r="H71" s="36"/>
      <c r="I71" s="36"/>
      <c r="J71" s="36"/>
      <c r="K71" s="41"/>
      <c r="L71" s="36"/>
      <c r="M71" s="43"/>
      <c r="N71" s="36"/>
      <c r="O71" s="43"/>
      <c r="P71" s="36"/>
      <c r="Q71" s="36"/>
      <c r="R71" s="43"/>
      <c r="S71" s="36"/>
      <c r="T71" s="36"/>
      <c r="U71" s="146"/>
      <c r="V71" s="36"/>
      <c r="W71" s="36"/>
      <c r="X71" s="36"/>
      <c r="Y71" s="41"/>
      <c r="Z71" s="47"/>
      <c r="AA71" s="47"/>
    </row>
    <row r="72" spans="1:27" s="179" customFormat="1" x14ac:dyDescent="0.15">
      <c r="A72" s="168" t="s">
        <v>83</v>
      </c>
      <c r="B72" s="180">
        <f>B73+B84</f>
        <v>8.7799999999999994</v>
      </c>
      <c r="C72" s="170">
        <f t="shared" ref="C72:C93" si="41">D72/1000</f>
        <v>6625.9959507692311</v>
      </c>
      <c r="D72" s="171">
        <f>D73+D84</f>
        <v>6625995.9507692307</v>
      </c>
      <c r="E72" s="171">
        <f>E73+E84</f>
        <v>2970154</v>
      </c>
      <c r="F72" s="171">
        <f>H72/1000</f>
        <v>8299.5329999999994</v>
      </c>
      <c r="G72" s="171">
        <f>G73+G84</f>
        <v>3410675</v>
      </c>
      <c r="H72" s="171">
        <f>H73+H84</f>
        <v>8299533</v>
      </c>
      <c r="I72" s="171">
        <f>I73+I84</f>
        <v>6821350</v>
      </c>
      <c r="J72" s="171">
        <f>J73+J84</f>
        <v>11369</v>
      </c>
      <c r="K72" s="171">
        <f>L72/1000</f>
        <v>11066.044</v>
      </c>
      <c r="L72" s="176">
        <f>L73+L84</f>
        <v>11066044</v>
      </c>
      <c r="M72" s="171">
        <f t="shared" ref="M72:M93" si="42">N72/1000*-1</f>
        <v>-34.938000000000002</v>
      </c>
      <c r="N72" s="171">
        <f>N73+N84</f>
        <v>34938</v>
      </c>
      <c r="O72" s="171">
        <f t="shared" ref="O72:O93" si="43">P72/1000*-1</f>
        <v>0</v>
      </c>
      <c r="P72" s="171">
        <f>P73+P84</f>
        <v>0</v>
      </c>
      <c r="Q72" s="171">
        <v>0</v>
      </c>
      <c r="R72" s="171">
        <f t="shared" ref="R72:R93" si="44">S72/1000*-1</f>
        <v>0</v>
      </c>
      <c r="S72" s="176">
        <f>S73+S84</f>
        <v>0</v>
      </c>
      <c r="T72" s="176">
        <f>T73+T84</f>
        <v>34938</v>
      </c>
      <c r="U72" s="181">
        <f>U73+U84</f>
        <v>3655841.9507692298</v>
      </c>
      <c r="V72" s="173">
        <f t="shared" ref="V72:V93" si="45">C72+M72</f>
        <v>6591.057950769231</v>
      </c>
      <c r="W72" s="173">
        <f t="shared" ref="W72:W93" si="46">F72+O72</f>
        <v>8299.5329999999994</v>
      </c>
      <c r="X72" s="173">
        <f t="shared" ref="X72:X93" si="47">J72+Q72</f>
        <v>11369</v>
      </c>
      <c r="Y72" s="171">
        <f t="shared" ref="Y72:Y93" si="48">K72+R72</f>
        <v>11066.044</v>
      </c>
      <c r="Z72" s="174"/>
      <c r="AA72" s="174"/>
    </row>
    <row r="73" spans="1:27" s="118" customFormat="1" ht="9.9499999999999993" customHeight="1" x14ac:dyDescent="0.15">
      <c r="A73" s="142" t="s">
        <v>65</v>
      </c>
      <c r="B73" s="125">
        <f>SUM(B74:B83)</f>
        <v>5.68</v>
      </c>
      <c r="C73" s="140">
        <f t="shared" si="41"/>
        <v>3124.9279294270191</v>
      </c>
      <c r="D73" s="41">
        <f>E73+U73</f>
        <v>3124927.9294270189</v>
      </c>
      <c r="E73" s="33">
        <f>SUM(E74:E83)</f>
        <v>759873</v>
      </c>
      <c r="F73" s="41">
        <f>H73/1000</f>
        <v>3434.2485000000001</v>
      </c>
      <c r="G73" s="33">
        <f>I73/2</f>
        <v>916500</v>
      </c>
      <c r="H73" s="33">
        <f t="shared" ref="H73:H93" si="49">L73*0.75</f>
        <v>3434248.5</v>
      </c>
      <c r="I73" s="33">
        <v>1833000</v>
      </c>
      <c r="J73" s="33">
        <f>J74+J75+J76+J77+J78+J79+J80+J82+J81+J83</f>
        <v>4703</v>
      </c>
      <c r="K73" s="41">
        <f>L73/1000</f>
        <v>4578.9979999999996</v>
      </c>
      <c r="L73" s="33">
        <f>SUM(L74:L83)</f>
        <v>4578998</v>
      </c>
      <c r="M73" s="41">
        <f t="shared" si="42"/>
        <v>-34.938000000000002</v>
      </c>
      <c r="N73" s="33">
        <f>N78</f>
        <v>34938</v>
      </c>
      <c r="O73" s="41">
        <f t="shared" si="43"/>
        <v>0</v>
      </c>
      <c r="P73" s="33">
        <f>P74+P76+P77+P78+P79+P80+P81+P82+P83</f>
        <v>0</v>
      </c>
      <c r="Q73" s="33">
        <v>0</v>
      </c>
      <c r="R73" s="41">
        <f t="shared" si="44"/>
        <v>0</v>
      </c>
      <c r="S73" s="33"/>
      <c r="T73" s="33">
        <f>T78</f>
        <v>34938</v>
      </c>
      <c r="U73" s="143">
        <f>U8/B8*B73</f>
        <v>2365054.9294270189</v>
      </c>
      <c r="V73" s="33">
        <f t="shared" si="45"/>
        <v>3089.989929427019</v>
      </c>
      <c r="W73" s="33">
        <f t="shared" si="46"/>
        <v>3434.2485000000001</v>
      </c>
      <c r="X73" s="33">
        <f t="shared" si="47"/>
        <v>4703</v>
      </c>
      <c r="Y73" s="41">
        <f t="shared" si="48"/>
        <v>4578.9979999999996</v>
      </c>
      <c r="Z73" s="47"/>
      <c r="AA73" s="47"/>
    </row>
    <row r="74" spans="1:27" s="117" customFormat="1" ht="9.9499999999999993" customHeight="1" x14ac:dyDescent="0.15">
      <c r="A74" s="144" t="s">
        <v>23</v>
      </c>
      <c r="B74" s="134">
        <v>0.7</v>
      </c>
      <c r="C74" s="145">
        <f t="shared" si="41"/>
        <v>785.59703707727351</v>
      </c>
      <c r="D74" s="43">
        <f>E74+U74</f>
        <v>785597.03707727348</v>
      </c>
      <c r="E74" s="36">
        <v>494129</v>
      </c>
      <c r="F74" s="43">
        <f>H74/1000</f>
        <v>934.81124999999997</v>
      </c>
      <c r="G74" s="36">
        <f>I74/2</f>
        <v>454000</v>
      </c>
      <c r="H74" s="36">
        <f t="shared" si="49"/>
        <v>934811.25</v>
      </c>
      <c r="I74" s="36">
        <v>908000</v>
      </c>
      <c r="J74" s="36">
        <v>1200</v>
      </c>
      <c r="K74" s="43">
        <f>L74/1000</f>
        <v>1246.415</v>
      </c>
      <c r="L74" s="36">
        <v>1246415</v>
      </c>
      <c r="M74" s="43">
        <f t="shared" si="42"/>
        <v>0</v>
      </c>
      <c r="N74" s="36"/>
      <c r="O74" s="43">
        <f t="shared" si="43"/>
        <v>0</v>
      </c>
      <c r="P74" s="36">
        <f t="shared" ref="P74:P83" si="50">S74*0.75</f>
        <v>0</v>
      </c>
      <c r="Q74" s="36">
        <v>0</v>
      </c>
      <c r="R74" s="43">
        <f t="shared" si="44"/>
        <v>0</v>
      </c>
      <c r="S74" s="36"/>
      <c r="T74" s="36"/>
      <c r="U74" s="146">
        <f>U8/B8*B74</f>
        <v>291468.03707727348</v>
      </c>
      <c r="V74" s="36">
        <f t="shared" si="45"/>
        <v>785.59703707727351</v>
      </c>
      <c r="W74" s="36">
        <f t="shared" si="46"/>
        <v>934.81124999999997</v>
      </c>
      <c r="X74" s="36">
        <f t="shared" si="47"/>
        <v>1200</v>
      </c>
      <c r="Y74" s="43">
        <f t="shared" si="48"/>
        <v>1246.415</v>
      </c>
      <c r="Z74" s="47"/>
      <c r="AA74" s="47"/>
    </row>
    <row r="75" spans="1:27" s="117" customFormat="1" ht="9.9499999999999993" hidden="1" customHeight="1" x14ac:dyDescent="0.15">
      <c r="A75" s="144"/>
      <c r="B75" s="134"/>
      <c r="C75" s="145">
        <f t="shared" si="41"/>
        <v>0</v>
      </c>
      <c r="D75" s="43"/>
      <c r="E75" s="36"/>
      <c r="F75" s="43">
        <v>0</v>
      </c>
      <c r="G75" s="36"/>
      <c r="H75" s="36">
        <f t="shared" si="49"/>
        <v>18129.75</v>
      </c>
      <c r="I75" s="36"/>
      <c r="J75" s="36"/>
      <c r="K75" s="43"/>
      <c r="L75" s="36">
        <v>24173</v>
      </c>
      <c r="M75" s="43">
        <f t="shared" si="42"/>
        <v>0</v>
      </c>
      <c r="N75" s="36"/>
      <c r="O75" s="43">
        <f t="shared" si="43"/>
        <v>0</v>
      </c>
      <c r="P75" s="36">
        <f t="shared" si="50"/>
        <v>0</v>
      </c>
      <c r="Q75" s="36">
        <v>0</v>
      </c>
      <c r="R75" s="43">
        <f t="shared" si="44"/>
        <v>0</v>
      </c>
      <c r="S75" s="36"/>
      <c r="T75" s="36"/>
      <c r="U75" s="146"/>
      <c r="V75" s="36">
        <f t="shared" si="45"/>
        <v>0</v>
      </c>
      <c r="W75" s="36">
        <f t="shared" si="46"/>
        <v>0</v>
      </c>
      <c r="X75" s="36">
        <f t="shared" si="47"/>
        <v>0</v>
      </c>
      <c r="Y75" s="43">
        <f t="shared" si="48"/>
        <v>0</v>
      </c>
      <c r="Z75" s="47"/>
      <c r="AA75" s="47"/>
    </row>
    <row r="76" spans="1:27" s="117" customFormat="1" ht="9.9499999999999993" customHeight="1" x14ac:dyDescent="0.15">
      <c r="A76" s="144" t="s">
        <v>24</v>
      </c>
      <c r="B76" s="134">
        <v>1.03</v>
      </c>
      <c r="C76" s="145">
        <f t="shared" si="41"/>
        <v>453.35839741370239</v>
      </c>
      <c r="D76" s="43">
        <f t="shared" ref="D76:D84" si="51">E76+U76</f>
        <v>453358.39741370239</v>
      </c>
      <c r="E76" s="36">
        <v>24484</v>
      </c>
      <c r="F76" s="43">
        <f t="shared" ref="F76:F82" si="52">H76/1000</f>
        <v>518.21550000000002</v>
      </c>
      <c r="G76" s="36">
        <f>I76/2</f>
        <v>96500</v>
      </c>
      <c r="H76" s="36">
        <f t="shared" si="49"/>
        <v>518215.5</v>
      </c>
      <c r="I76" s="36">
        <v>193000</v>
      </c>
      <c r="J76" s="36">
        <v>700</v>
      </c>
      <c r="K76" s="43">
        <f t="shared" ref="K76:K82" si="53">L76/1000</f>
        <v>690.95399999999995</v>
      </c>
      <c r="L76" s="36">
        <v>690954</v>
      </c>
      <c r="M76" s="43">
        <f t="shared" si="42"/>
        <v>0</v>
      </c>
      <c r="N76" s="36"/>
      <c r="O76" s="43">
        <f t="shared" si="43"/>
        <v>0</v>
      </c>
      <c r="P76" s="36">
        <f t="shared" si="50"/>
        <v>0</v>
      </c>
      <c r="Q76" s="36">
        <v>0</v>
      </c>
      <c r="R76" s="43">
        <f t="shared" si="44"/>
        <v>0</v>
      </c>
      <c r="S76" s="36"/>
      <c r="T76" s="36"/>
      <c r="U76" s="146">
        <f>U8/B8*B76</f>
        <v>428874.39741370239</v>
      </c>
      <c r="V76" s="36">
        <f t="shared" si="45"/>
        <v>453.35839741370239</v>
      </c>
      <c r="W76" s="36">
        <f t="shared" si="46"/>
        <v>518.21550000000002</v>
      </c>
      <c r="X76" s="36">
        <f t="shared" si="47"/>
        <v>700</v>
      </c>
      <c r="Y76" s="43">
        <f t="shared" si="48"/>
        <v>690.95399999999995</v>
      </c>
      <c r="Z76" s="47"/>
      <c r="AA76" s="47"/>
    </row>
    <row r="77" spans="1:27" s="117" customFormat="1" ht="9.9499999999999993" customHeight="1" x14ac:dyDescent="0.15">
      <c r="A77" s="144" t="s">
        <v>102</v>
      </c>
      <c r="B77" s="134">
        <v>0.55000000000000004</v>
      </c>
      <c r="C77" s="145">
        <f t="shared" si="41"/>
        <v>229.01060056071489</v>
      </c>
      <c r="D77" s="43">
        <f t="shared" si="51"/>
        <v>229010.6005607149</v>
      </c>
      <c r="E77" s="36"/>
      <c r="F77" s="43">
        <f t="shared" si="52"/>
        <v>274.42349999999999</v>
      </c>
      <c r="G77" s="36">
        <f>I77/2</f>
        <v>50000</v>
      </c>
      <c r="H77" s="36">
        <f t="shared" si="49"/>
        <v>274423.5</v>
      </c>
      <c r="I77" s="36">
        <v>100000</v>
      </c>
      <c r="J77" s="36">
        <v>366</v>
      </c>
      <c r="K77" s="43">
        <f t="shared" si="53"/>
        <v>365.89800000000002</v>
      </c>
      <c r="L77" s="36">
        <v>365898</v>
      </c>
      <c r="M77" s="43">
        <f t="shared" si="42"/>
        <v>0</v>
      </c>
      <c r="N77" s="36"/>
      <c r="O77" s="43">
        <f t="shared" si="43"/>
        <v>0</v>
      </c>
      <c r="P77" s="36">
        <f t="shared" si="50"/>
        <v>0</v>
      </c>
      <c r="Q77" s="36">
        <v>0</v>
      </c>
      <c r="R77" s="43">
        <f t="shared" si="44"/>
        <v>0</v>
      </c>
      <c r="S77" s="36"/>
      <c r="T77" s="36"/>
      <c r="U77" s="146">
        <f>U8/B8*B77</f>
        <v>229010.6005607149</v>
      </c>
      <c r="V77" s="36">
        <f t="shared" si="45"/>
        <v>229.01060056071489</v>
      </c>
      <c r="W77" s="36">
        <f t="shared" si="46"/>
        <v>274.42349999999999</v>
      </c>
      <c r="X77" s="36">
        <f t="shared" si="47"/>
        <v>366</v>
      </c>
      <c r="Y77" s="43">
        <f t="shared" si="48"/>
        <v>365.89800000000002</v>
      </c>
      <c r="Z77" s="47"/>
      <c r="AA77" s="47"/>
    </row>
    <row r="78" spans="1:27" s="117" customFormat="1" ht="9.9499999999999993" customHeight="1" x14ac:dyDescent="0.15">
      <c r="A78" s="144" t="s">
        <v>25</v>
      </c>
      <c r="B78" s="134">
        <v>0.1</v>
      </c>
      <c r="C78" s="145">
        <f t="shared" si="41"/>
        <v>195.90829101103907</v>
      </c>
      <c r="D78" s="43">
        <f t="shared" si="51"/>
        <v>195908.29101103908</v>
      </c>
      <c r="E78" s="36">
        <f>216130-61860</f>
        <v>154270</v>
      </c>
      <c r="F78" s="43">
        <f t="shared" si="52"/>
        <v>261.25875000000002</v>
      </c>
      <c r="G78" s="36">
        <f>I78/2</f>
        <v>150000</v>
      </c>
      <c r="H78" s="36">
        <f t="shared" si="49"/>
        <v>261258.75</v>
      </c>
      <c r="I78" s="36">
        <v>300000</v>
      </c>
      <c r="J78" s="36">
        <v>348</v>
      </c>
      <c r="K78" s="43">
        <f t="shared" si="53"/>
        <v>348.34500000000003</v>
      </c>
      <c r="L78" s="36">
        <v>348345</v>
      </c>
      <c r="M78" s="43">
        <f t="shared" si="42"/>
        <v>-34.938000000000002</v>
      </c>
      <c r="N78" s="36">
        <f>11500+23438</f>
        <v>34938</v>
      </c>
      <c r="O78" s="43">
        <f t="shared" si="43"/>
        <v>0</v>
      </c>
      <c r="P78" s="36">
        <f t="shared" si="50"/>
        <v>0</v>
      </c>
      <c r="Q78" s="36">
        <v>0</v>
      </c>
      <c r="R78" s="43">
        <f t="shared" si="44"/>
        <v>0</v>
      </c>
      <c r="S78" s="36"/>
      <c r="T78" s="36">
        <f>11500+23438</f>
        <v>34938</v>
      </c>
      <c r="U78" s="146">
        <f>U8/B8*B78</f>
        <v>41638.291011039073</v>
      </c>
      <c r="V78" s="36">
        <f t="shared" si="45"/>
        <v>160.97029101103908</v>
      </c>
      <c r="W78" s="36">
        <f t="shared" si="46"/>
        <v>261.25875000000002</v>
      </c>
      <c r="X78" s="36">
        <f t="shared" si="47"/>
        <v>348</v>
      </c>
      <c r="Y78" s="43">
        <f t="shared" si="48"/>
        <v>348.34500000000003</v>
      </c>
      <c r="Z78" s="47"/>
      <c r="AA78" s="47"/>
    </row>
    <row r="79" spans="1:27" s="117" customFormat="1" ht="9.9499999999999993" customHeight="1" x14ac:dyDescent="0.15">
      <c r="A79" s="144" t="s">
        <v>26</v>
      </c>
      <c r="B79" s="134">
        <v>0.95</v>
      </c>
      <c r="C79" s="145">
        <f t="shared" si="41"/>
        <v>426.49276460487118</v>
      </c>
      <c r="D79" s="43">
        <f t="shared" si="51"/>
        <v>426492.76460487116</v>
      </c>
      <c r="E79" s="36">
        <v>30929</v>
      </c>
      <c r="F79" s="43">
        <f t="shared" si="52"/>
        <v>344.45850000000002</v>
      </c>
      <c r="G79" s="36"/>
      <c r="H79" s="36">
        <f t="shared" si="49"/>
        <v>344458.5</v>
      </c>
      <c r="I79" s="36"/>
      <c r="J79" s="36">
        <v>490</v>
      </c>
      <c r="K79" s="43">
        <f t="shared" si="53"/>
        <v>459.27800000000002</v>
      </c>
      <c r="L79" s="36">
        <v>459278</v>
      </c>
      <c r="M79" s="43">
        <f t="shared" si="42"/>
        <v>0</v>
      </c>
      <c r="N79" s="36"/>
      <c r="O79" s="43">
        <f t="shared" si="43"/>
        <v>0</v>
      </c>
      <c r="P79" s="36">
        <f t="shared" si="50"/>
        <v>0</v>
      </c>
      <c r="Q79" s="36">
        <v>0</v>
      </c>
      <c r="R79" s="43">
        <f t="shared" si="44"/>
        <v>0</v>
      </c>
      <c r="S79" s="36"/>
      <c r="T79" s="36"/>
      <c r="U79" s="146">
        <f>U8/B8*B79</f>
        <v>395563.76460487116</v>
      </c>
      <c r="V79" s="36">
        <f t="shared" si="45"/>
        <v>426.49276460487118</v>
      </c>
      <c r="W79" s="36">
        <f t="shared" si="46"/>
        <v>344.45850000000002</v>
      </c>
      <c r="X79" s="36">
        <f t="shared" si="47"/>
        <v>490</v>
      </c>
      <c r="Y79" s="43">
        <f t="shared" si="48"/>
        <v>459.27800000000002</v>
      </c>
      <c r="Z79" s="47"/>
      <c r="AA79" s="47"/>
    </row>
    <row r="80" spans="1:27" s="117" customFormat="1" ht="9.9499999999999993" customHeight="1" x14ac:dyDescent="0.15">
      <c r="A80" s="144" t="s">
        <v>27</v>
      </c>
      <c r="B80" s="134">
        <v>1.4</v>
      </c>
      <c r="C80" s="145">
        <f t="shared" si="41"/>
        <v>628.94207415454696</v>
      </c>
      <c r="D80" s="43">
        <f t="shared" si="51"/>
        <v>628942.07415454695</v>
      </c>
      <c r="E80" s="36">
        <v>46006</v>
      </c>
      <c r="F80" s="43">
        <f t="shared" si="52"/>
        <v>520.37249999999995</v>
      </c>
      <c r="G80" s="36">
        <f>I80/2</f>
        <v>8500</v>
      </c>
      <c r="H80" s="36">
        <f t="shared" si="49"/>
        <v>520372.5</v>
      </c>
      <c r="I80" s="36">
        <v>17000</v>
      </c>
      <c r="J80" s="36">
        <v>800</v>
      </c>
      <c r="K80" s="43">
        <f t="shared" si="53"/>
        <v>693.83</v>
      </c>
      <c r="L80" s="36">
        <v>693830</v>
      </c>
      <c r="M80" s="43">
        <f t="shared" si="42"/>
        <v>0</v>
      </c>
      <c r="N80" s="36"/>
      <c r="O80" s="43">
        <f t="shared" si="43"/>
        <v>0</v>
      </c>
      <c r="P80" s="36">
        <f t="shared" si="50"/>
        <v>0</v>
      </c>
      <c r="Q80" s="36">
        <v>0</v>
      </c>
      <c r="R80" s="43">
        <f t="shared" si="44"/>
        <v>0</v>
      </c>
      <c r="S80" s="36"/>
      <c r="T80" s="36"/>
      <c r="U80" s="146">
        <f>U8/B8*B80</f>
        <v>582936.07415454695</v>
      </c>
      <c r="V80" s="36">
        <f t="shared" si="45"/>
        <v>628.94207415454696</v>
      </c>
      <c r="W80" s="36">
        <f t="shared" si="46"/>
        <v>520.37249999999995</v>
      </c>
      <c r="X80" s="36">
        <f t="shared" si="47"/>
        <v>800</v>
      </c>
      <c r="Y80" s="43">
        <f t="shared" si="48"/>
        <v>693.83</v>
      </c>
      <c r="Z80" s="47"/>
      <c r="AA80" s="47"/>
    </row>
    <row r="81" spans="1:27" s="117" customFormat="1" ht="9.9499999999999993" customHeight="1" x14ac:dyDescent="0.15">
      <c r="A81" s="144" t="s">
        <v>34</v>
      </c>
      <c r="B81" s="134">
        <v>0.6</v>
      </c>
      <c r="C81" s="145">
        <f t="shared" si="41"/>
        <v>249.82974606623441</v>
      </c>
      <c r="D81" s="43">
        <f t="shared" si="51"/>
        <v>249829.74606623439</v>
      </c>
      <c r="E81" s="36"/>
      <c r="F81" s="43">
        <f t="shared" si="52"/>
        <v>453.80250000000001</v>
      </c>
      <c r="G81" s="36">
        <f>I81/2</f>
        <v>157500</v>
      </c>
      <c r="H81" s="36">
        <f t="shared" si="49"/>
        <v>453802.5</v>
      </c>
      <c r="I81" s="36">
        <v>315000</v>
      </c>
      <c r="J81" s="36">
        <v>600</v>
      </c>
      <c r="K81" s="43">
        <f t="shared" si="53"/>
        <v>605.07000000000005</v>
      </c>
      <c r="L81" s="36">
        <v>605070</v>
      </c>
      <c r="M81" s="43">
        <f t="shared" si="42"/>
        <v>0</v>
      </c>
      <c r="N81" s="36"/>
      <c r="O81" s="43">
        <f t="shared" si="43"/>
        <v>0</v>
      </c>
      <c r="P81" s="36">
        <f t="shared" si="50"/>
        <v>0</v>
      </c>
      <c r="Q81" s="36">
        <v>0</v>
      </c>
      <c r="R81" s="43">
        <f t="shared" si="44"/>
        <v>0</v>
      </c>
      <c r="S81" s="36"/>
      <c r="T81" s="36"/>
      <c r="U81" s="146">
        <f>U8/B8*B81</f>
        <v>249829.74606623439</v>
      </c>
      <c r="V81" s="36">
        <f t="shared" si="45"/>
        <v>249.82974606623441</v>
      </c>
      <c r="W81" s="36">
        <f t="shared" si="46"/>
        <v>453.80250000000001</v>
      </c>
      <c r="X81" s="36">
        <f t="shared" si="47"/>
        <v>600</v>
      </c>
      <c r="Y81" s="43">
        <f t="shared" si="48"/>
        <v>605.07000000000005</v>
      </c>
      <c r="Z81" s="47"/>
      <c r="AA81" s="47"/>
    </row>
    <row r="82" spans="1:27" s="117" customFormat="1" ht="9.9499999999999993" customHeight="1" x14ac:dyDescent="0.15">
      <c r="A82" s="144" t="s">
        <v>101</v>
      </c>
      <c r="B82" s="134"/>
      <c r="C82" s="145">
        <f t="shared" si="41"/>
        <v>10</v>
      </c>
      <c r="D82" s="43">
        <f t="shared" si="51"/>
        <v>10000</v>
      </c>
      <c r="E82" s="36">
        <v>10000</v>
      </c>
      <c r="F82" s="43">
        <f t="shared" si="52"/>
        <v>0</v>
      </c>
      <c r="G82" s="36"/>
      <c r="H82" s="36">
        <f t="shared" si="49"/>
        <v>0</v>
      </c>
      <c r="I82" s="36"/>
      <c r="J82" s="36">
        <v>10</v>
      </c>
      <c r="K82" s="43">
        <f t="shared" si="53"/>
        <v>0</v>
      </c>
      <c r="L82" s="36"/>
      <c r="M82" s="43">
        <f t="shared" si="42"/>
        <v>0</v>
      </c>
      <c r="N82" s="36"/>
      <c r="O82" s="43">
        <f t="shared" si="43"/>
        <v>0</v>
      </c>
      <c r="P82" s="36">
        <f t="shared" si="50"/>
        <v>0</v>
      </c>
      <c r="Q82" s="36">
        <v>0</v>
      </c>
      <c r="R82" s="43">
        <f t="shared" si="44"/>
        <v>0</v>
      </c>
      <c r="S82" s="36"/>
      <c r="T82" s="36"/>
      <c r="U82" s="146"/>
      <c r="V82" s="36">
        <f t="shared" si="45"/>
        <v>10</v>
      </c>
      <c r="W82" s="36">
        <f t="shared" si="46"/>
        <v>0</v>
      </c>
      <c r="X82" s="36">
        <f t="shared" si="47"/>
        <v>10</v>
      </c>
      <c r="Y82" s="43">
        <f t="shared" si="48"/>
        <v>0</v>
      </c>
      <c r="Z82" s="47"/>
      <c r="AA82" s="47"/>
    </row>
    <row r="83" spans="1:27" s="117" customFormat="1" ht="9.9499999999999993" customHeight="1" x14ac:dyDescent="0.15">
      <c r="A83" s="144" t="s">
        <v>38</v>
      </c>
      <c r="B83" s="134">
        <v>0.35</v>
      </c>
      <c r="C83" s="145">
        <f t="shared" si="41"/>
        <v>145.78901853863672</v>
      </c>
      <c r="D83" s="43">
        <f t="shared" si="51"/>
        <v>145789.01853863674</v>
      </c>
      <c r="E83" s="36">
        <v>55</v>
      </c>
      <c r="F83" s="43">
        <f>H83/1000+F75</f>
        <v>108.77625</v>
      </c>
      <c r="G83" s="36"/>
      <c r="H83" s="36">
        <f t="shared" si="49"/>
        <v>108776.25</v>
      </c>
      <c r="I83" s="36"/>
      <c r="J83" s="36">
        <v>189</v>
      </c>
      <c r="K83" s="43">
        <f>L83/1000+24</f>
        <v>169.035</v>
      </c>
      <c r="L83" s="36">
        <v>145035</v>
      </c>
      <c r="M83" s="43">
        <f t="shared" si="42"/>
        <v>0</v>
      </c>
      <c r="N83" s="36"/>
      <c r="O83" s="43">
        <f t="shared" si="43"/>
        <v>0</v>
      </c>
      <c r="P83" s="36">
        <f t="shared" si="50"/>
        <v>0</v>
      </c>
      <c r="Q83" s="36">
        <v>0</v>
      </c>
      <c r="R83" s="43">
        <f t="shared" si="44"/>
        <v>0</v>
      </c>
      <c r="S83" s="36"/>
      <c r="T83" s="36"/>
      <c r="U83" s="146">
        <f>U8/B8*B83</f>
        <v>145734.01853863674</v>
      </c>
      <c r="V83" s="36">
        <f t="shared" si="45"/>
        <v>145.78901853863672</v>
      </c>
      <c r="W83" s="36">
        <f t="shared" si="46"/>
        <v>108.77625</v>
      </c>
      <c r="X83" s="36">
        <f t="shared" si="47"/>
        <v>189</v>
      </c>
      <c r="Y83" s="43">
        <f t="shared" si="48"/>
        <v>169.035</v>
      </c>
      <c r="Z83" s="47"/>
      <c r="AA83" s="47"/>
    </row>
    <row r="84" spans="1:27" s="118" customFormat="1" ht="9.9499999999999993" customHeight="1" x14ac:dyDescent="0.15">
      <c r="A84" s="142" t="s">
        <v>66</v>
      </c>
      <c r="B84" s="125">
        <f>SUM(B85:B93)</f>
        <v>3.1</v>
      </c>
      <c r="C84" s="140">
        <f t="shared" si="41"/>
        <v>3501.0680213422115</v>
      </c>
      <c r="D84" s="41">
        <f t="shared" si="51"/>
        <v>3501068.0213422114</v>
      </c>
      <c r="E84" s="33">
        <f>SUM(E85:E93)</f>
        <v>2210281</v>
      </c>
      <c r="F84" s="41">
        <f t="shared" ref="F84:F93" si="54">H84/1000</f>
        <v>4865.2844999999998</v>
      </c>
      <c r="G84" s="33">
        <f>SUM(G85:G93)</f>
        <v>2494175</v>
      </c>
      <c r="H84" s="33">
        <f t="shared" si="49"/>
        <v>4865284.5</v>
      </c>
      <c r="I84" s="33">
        <f>SUM(I85:I93)</f>
        <v>4988350</v>
      </c>
      <c r="J84" s="33">
        <f>J85+J86+J87+J88+J89+J90+J91+J92+J93</f>
        <v>6666</v>
      </c>
      <c r="K84" s="41">
        <f t="shared" ref="K84:K93" si="55">L84/1000</f>
        <v>6487.0460000000003</v>
      </c>
      <c r="L84" s="33">
        <f>SUM(L85:L93)</f>
        <v>6487046</v>
      </c>
      <c r="M84" s="41">
        <f t="shared" si="42"/>
        <v>0</v>
      </c>
      <c r="N84" s="33"/>
      <c r="O84" s="41">
        <f t="shared" si="43"/>
        <v>0</v>
      </c>
      <c r="P84" s="33">
        <f>P85+P86+P87+P88+P89+P90+P91+P92+P93</f>
        <v>0</v>
      </c>
      <c r="Q84" s="33">
        <v>0</v>
      </c>
      <c r="R84" s="41">
        <f t="shared" si="44"/>
        <v>0</v>
      </c>
      <c r="S84" s="33"/>
      <c r="T84" s="33"/>
      <c r="U84" s="143">
        <f>U8/B8*B84</f>
        <v>1290787.0213422112</v>
      </c>
      <c r="V84" s="33">
        <f t="shared" si="45"/>
        <v>3501.0680213422115</v>
      </c>
      <c r="W84" s="33">
        <f t="shared" si="46"/>
        <v>4865.2844999999998</v>
      </c>
      <c r="X84" s="33">
        <f t="shared" si="47"/>
        <v>6666</v>
      </c>
      <c r="Y84" s="41">
        <f t="shared" si="48"/>
        <v>6487.0460000000003</v>
      </c>
      <c r="Z84" s="47"/>
      <c r="AA84" s="47"/>
    </row>
    <row r="85" spans="1:27" s="117" customFormat="1" ht="9.9499999999999993" customHeight="1" x14ac:dyDescent="0.15">
      <c r="A85" s="144" t="s">
        <v>100</v>
      </c>
      <c r="B85" s="134">
        <v>0</v>
      </c>
      <c r="C85" s="145">
        <f t="shared" si="41"/>
        <v>758.29499999999996</v>
      </c>
      <c r="D85" s="43">
        <f>U85+E85</f>
        <v>758295</v>
      </c>
      <c r="E85" s="36">
        <v>758295</v>
      </c>
      <c r="F85" s="43">
        <f t="shared" si="54"/>
        <v>1500</v>
      </c>
      <c r="G85" s="36">
        <f t="shared" ref="G85:G93" si="56">I85/2</f>
        <v>1000000</v>
      </c>
      <c r="H85" s="36">
        <f t="shared" si="49"/>
        <v>1500000</v>
      </c>
      <c r="I85" s="36">
        <v>2000000</v>
      </c>
      <c r="J85" s="36">
        <v>2000</v>
      </c>
      <c r="K85" s="43">
        <f t="shared" si="55"/>
        <v>2000</v>
      </c>
      <c r="L85" s="36">
        <v>2000000</v>
      </c>
      <c r="M85" s="43">
        <f t="shared" si="42"/>
        <v>0</v>
      </c>
      <c r="N85" s="36"/>
      <c r="O85" s="43">
        <f t="shared" si="43"/>
        <v>0</v>
      </c>
      <c r="P85" s="36">
        <f t="shared" ref="P85:P92" si="57">S85*0.75</f>
        <v>0</v>
      </c>
      <c r="Q85" s="36">
        <v>0</v>
      </c>
      <c r="R85" s="43">
        <f t="shared" si="44"/>
        <v>0</v>
      </c>
      <c r="S85" s="36"/>
      <c r="T85" s="36"/>
      <c r="U85" s="146"/>
      <c r="V85" s="36">
        <f t="shared" si="45"/>
        <v>758.29499999999996</v>
      </c>
      <c r="W85" s="36">
        <f t="shared" si="46"/>
        <v>1500</v>
      </c>
      <c r="X85" s="36">
        <f t="shared" si="47"/>
        <v>2000</v>
      </c>
      <c r="Y85" s="43">
        <f t="shared" si="48"/>
        <v>2000</v>
      </c>
      <c r="Z85" s="47"/>
      <c r="AA85" s="47"/>
    </row>
    <row r="86" spans="1:27" s="117" customFormat="1" ht="9.9499999999999993" customHeight="1" x14ac:dyDescent="0.15">
      <c r="A86" s="144" t="s">
        <v>99</v>
      </c>
      <c r="B86" s="134">
        <v>0.1</v>
      </c>
      <c r="C86" s="145">
        <f t="shared" si="41"/>
        <v>101.32029101103907</v>
      </c>
      <c r="D86" s="43">
        <f t="shared" ref="D86:D93" si="58">E86+U86</f>
        <v>101320.29101103908</v>
      </c>
      <c r="E86" s="36">
        <v>59682</v>
      </c>
      <c r="F86" s="43">
        <f t="shared" si="54"/>
        <v>208.75874999999999</v>
      </c>
      <c r="G86" s="36">
        <f t="shared" si="56"/>
        <v>115000</v>
      </c>
      <c r="H86" s="36">
        <f t="shared" si="49"/>
        <v>208758.75</v>
      </c>
      <c r="I86" s="36">
        <v>230000</v>
      </c>
      <c r="J86" s="36">
        <v>278</v>
      </c>
      <c r="K86" s="43">
        <f t="shared" si="55"/>
        <v>278.34500000000003</v>
      </c>
      <c r="L86" s="36">
        <v>278345</v>
      </c>
      <c r="M86" s="43">
        <f t="shared" si="42"/>
        <v>0</v>
      </c>
      <c r="N86" s="36"/>
      <c r="O86" s="43">
        <f t="shared" si="43"/>
        <v>0</v>
      </c>
      <c r="P86" s="36">
        <f t="shared" si="57"/>
        <v>0</v>
      </c>
      <c r="Q86" s="36">
        <v>0</v>
      </c>
      <c r="R86" s="43">
        <f t="shared" si="44"/>
        <v>0</v>
      </c>
      <c r="S86" s="36"/>
      <c r="T86" s="36"/>
      <c r="U86" s="146">
        <f>U8/B8*B86</f>
        <v>41638.291011039073</v>
      </c>
      <c r="V86" s="36">
        <f t="shared" si="45"/>
        <v>101.32029101103907</v>
      </c>
      <c r="W86" s="36">
        <f t="shared" si="46"/>
        <v>208.75874999999999</v>
      </c>
      <c r="X86" s="36">
        <f t="shared" si="47"/>
        <v>278</v>
      </c>
      <c r="Y86" s="43">
        <f t="shared" si="48"/>
        <v>278.34500000000003</v>
      </c>
      <c r="Z86" s="47"/>
      <c r="AA86" s="47"/>
    </row>
    <row r="87" spans="1:27" s="117" customFormat="1" ht="9.9499999999999993" customHeight="1" x14ac:dyDescent="0.15">
      <c r="A87" s="144" t="s">
        <v>98</v>
      </c>
      <c r="B87" s="134">
        <v>0.3</v>
      </c>
      <c r="C87" s="145">
        <f t="shared" si="41"/>
        <v>293.8428730331172</v>
      </c>
      <c r="D87" s="43">
        <f t="shared" si="58"/>
        <v>293842.87303311721</v>
      </c>
      <c r="E87" s="36">
        <v>168928</v>
      </c>
      <c r="F87" s="43">
        <f t="shared" si="54"/>
        <v>408.77625</v>
      </c>
      <c r="G87" s="36">
        <f t="shared" si="56"/>
        <v>200000</v>
      </c>
      <c r="H87" s="36">
        <f t="shared" si="49"/>
        <v>408776.25</v>
      </c>
      <c r="I87" s="36">
        <v>400000</v>
      </c>
      <c r="J87" s="36">
        <v>545</v>
      </c>
      <c r="K87" s="43">
        <f t="shared" si="55"/>
        <v>545.03499999999997</v>
      </c>
      <c r="L87" s="36">
        <v>545035</v>
      </c>
      <c r="M87" s="43">
        <f t="shared" si="42"/>
        <v>0</v>
      </c>
      <c r="N87" s="36"/>
      <c r="O87" s="43">
        <f t="shared" si="43"/>
        <v>0</v>
      </c>
      <c r="P87" s="36">
        <f t="shared" si="57"/>
        <v>0</v>
      </c>
      <c r="Q87" s="36">
        <v>0</v>
      </c>
      <c r="R87" s="43">
        <f t="shared" si="44"/>
        <v>0</v>
      </c>
      <c r="S87" s="36"/>
      <c r="T87" s="36"/>
      <c r="U87" s="146">
        <f>U8/B8*B87</f>
        <v>124914.8730331172</v>
      </c>
      <c r="V87" s="36">
        <f t="shared" si="45"/>
        <v>293.8428730331172</v>
      </c>
      <c r="W87" s="36">
        <f t="shared" si="46"/>
        <v>408.77625</v>
      </c>
      <c r="X87" s="36">
        <f t="shared" si="47"/>
        <v>545</v>
      </c>
      <c r="Y87" s="43">
        <f t="shared" si="48"/>
        <v>545.03499999999997</v>
      </c>
      <c r="Z87" s="47"/>
      <c r="AA87" s="47"/>
    </row>
    <row r="88" spans="1:27" s="117" customFormat="1" ht="9.9499999999999993" customHeight="1" x14ac:dyDescent="0.15">
      <c r="A88" s="144" t="s">
        <v>28</v>
      </c>
      <c r="B88" s="134">
        <v>0.1</v>
      </c>
      <c r="C88" s="145">
        <f t="shared" si="41"/>
        <v>130.02729101103907</v>
      </c>
      <c r="D88" s="43">
        <f t="shared" si="58"/>
        <v>130027.29101103908</v>
      </c>
      <c r="E88" s="36">
        <v>88389</v>
      </c>
      <c r="F88" s="43">
        <f t="shared" si="54"/>
        <v>111.25875000000001</v>
      </c>
      <c r="G88" s="36">
        <f t="shared" si="56"/>
        <v>50000</v>
      </c>
      <c r="H88" s="36">
        <f t="shared" si="49"/>
        <v>111258.75</v>
      </c>
      <c r="I88" s="36">
        <v>100000</v>
      </c>
      <c r="J88" s="36">
        <v>175</v>
      </c>
      <c r="K88" s="43">
        <f t="shared" si="55"/>
        <v>148.345</v>
      </c>
      <c r="L88" s="36">
        <v>148345</v>
      </c>
      <c r="M88" s="43">
        <f t="shared" si="42"/>
        <v>0</v>
      </c>
      <c r="N88" s="36"/>
      <c r="O88" s="43">
        <f t="shared" si="43"/>
        <v>0</v>
      </c>
      <c r="P88" s="36">
        <f t="shared" si="57"/>
        <v>0</v>
      </c>
      <c r="Q88" s="36">
        <v>0</v>
      </c>
      <c r="R88" s="43">
        <f t="shared" si="44"/>
        <v>0</v>
      </c>
      <c r="S88" s="36"/>
      <c r="T88" s="36"/>
      <c r="U88" s="146">
        <f>U8/B8*B88</f>
        <v>41638.291011039073</v>
      </c>
      <c r="V88" s="36">
        <f t="shared" si="45"/>
        <v>130.02729101103907</v>
      </c>
      <c r="W88" s="36">
        <f t="shared" si="46"/>
        <v>111.25875000000001</v>
      </c>
      <c r="X88" s="36">
        <f t="shared" si="47"/>
        <v>175</v>
      </c>
      <c r="Y88" s="43">
        <f t="shared" si="48"/>
        <v>148.345</v>
      </c>
      <c r="Z88" s="47"/>
      <c r="AA88" s="47"/>
    </row>
    <row r="89" spans="1:27" s="117" customFormat="1" ht="9.9499999999999993" customHeight="1" x14ac:dyDescent="0.15">
      <c r="A89" s="144" t="s">
        <v>29</v>
      </c>
      <c r="B89" s="134">
        <v>0.55000000000000004</v>
      </c>
      <c r="C89" s="145">
        <f t="shared" si="41"/>
        <v>1173.2156005607148</v>
      </c>
      <c r="D89" s="43">
        <f t="shared" si="58"/>
        <v>1173215.600560715</v>
      </c>
      <c r="E89" s="36">
        <v>944205</v>
      </c>
      <c r="F89" s="43">
        <f t="shared" si="54"/>
        <v>1693.2360000000001</v>
      </c>
      <c r="G89" s="36">
        <f t="shared" si="56"/>
        <v>995875</v>
      </c>
      <c r="H89" s="36">
        <f t="shared" si="49"/>
        <v>1693236</v>
      </c>
      <c r="I89" s="36">
        <v>1991750</v>
      </c>
      <c r="J89" s="36">
        <v>2258</v>
      </c>
      <c r="K89" s="43">
        <f t="shared" si="55"/>
        <v>2257.6480000000001</v>
      </c>
      <c r="L89" s="36">
        <v>2257648</v>
      </c>
      <c r="M89" s="43">
        <f t="shared" si="42"/>
        <v>0</v>
      </c>
      <c r="N89" s="36"/>
      <c r="O89" s="43">
        <f t="shared" si="43"/>
        <v>0</v>
      </c>
      <c r="P89" s="36">
        <f t="shared" si="57"/>
        <v>0</v>
      </c>
      <c r="Q89" s="36">
        <v>0</v>
      </c>
      <c r="R89" s="43">
        <f t="shared" si="44"/>
        <v>0</v>
      </c>
      <c r="S89" s="36"/>
      <c r="T89" s="36"/>
      <c r="U89" s="146">
        <f>U8/B8*B89</f>
        <v>229010.6005607149</v>
      </c>
      <c r="V89" s="36">
        <f t="shared" si="45"/>
        <v>1173.2156005607148</v>
      </c>
      <c r="W89" s="36">
        <f t="shared" si="46"/>
        <v>1693.2360000000001</v>
      </c>
      <c r="X89" s="36">
        <f t="shared" si="47"/>
        <v>2258</v>
      </c>
      <c r="Y89" s="43">
        <f t="shared" si="48"/>
        <v>2257.6480000000001</v>
      </c>
      <c r="Z89" s="47"/>
      <c r="AA89" s="47"/>
    </row>
    <row r="90" spans="1:27" s="117" customFormat="1" ht="9.9499999999999993" customHeight="1" x14ac:dyDescent="0.15">
      <c r="A90" s="144" t="s">
        <v>30</v>
      </c>
      <c r="B90" s="134">
        <v>0.5</v>
      </c>
      <c r="C90" s="145">
        <f t="shared" si="41"/>
        <v>327.64645505519536</v>
      </c>
      <c r="D90" s="43">
        <f t="shared" si="58"/>
        <v>327646.45505519537</v>
      </c>
      <c r="E90" s="36">
        <v>119455</v>
      </c>
      <c r="F90" s="43">
        <f t="shared" si="54"/>
        <v>283.29374999999999</v>
      </c>
      <c r="G90" s="36">
        <f t="shared" si="56"/>
        <v>68000</v>
      </c>
      <c r="H90" s="36">
        <f t="shared" si="49"/>
        <v>283293.75</v>
      </c>
      <c r="I90" s="36">
        <v>136000</v>
      </c>
      <c r="J90" s="36">
        <v>400</v>
      </c>
      <c r="K90" s="43">
        <f t="shared" si="55"/>
        <v>377.72500000000002</v>
      </c>
      <c r="L90" s="36">
        <v>377725</v>
      </c>
      <c r="M90" s="43">
        <f t="shared" si="42"/>
        <v>0</v>
      </c>
      <c r="N90" s="36"/>
      <c r="O90" s="43">
        <f t="shared" si="43"/>
        <v>0</v>
      </c>
      <c r="P90" s="36">
        <f t="shared" si="57"/>
        <v>0</v>
      </c>
      <c r="Q90" s="36">
        <v>0</v>
      </c>
      <c r="R90" s="43">
        <f t="shared" si="44"/>
        <v>0</v>
      </c>
      <c r="S90" s="36"/>
      <c r="T90" s="36"/>
      <c r="U90" s="146">
        <f>U8/B8*B90</f>
        <v>208191.45505519534</v>
      </c>
      <c r="V90" s="36">
        <f t="shared" si="45"/>
        <v>327.64645505519536</v>
      </c>
      <c r="W90" s="36">
        <f t="shared" si="46"/>
        <v>283.29374999999999</v>
      </c>
      <c r="X90" s="36">
        <f t="shared" si="47"/>
        <v>400</v>
      </c>
      <c r="Y90" s="43">
        <f t="shared" si="48"/>
        <v>377.72500000000002</v>
      </c>
      <c r="Z90" s="47"/>
      <c r="AA90" s="47"/>
    </row>
    <row r="91" spans="1:27" s="117" customFormat="1" ht="9.9499999999999993" customHeight="1" x14ac:dyDescent="0.15">
      <c r="A91" s="144" t="s">
        <v>31</v>
      </c>
      <c r="B91" s="134">
        <v>1.1000000000000001</v>
      </c>
      <c r="C91" s="145">
        <f t="shared" si="41"/>
        <v>494.80220112142979</v>
      </c>
      <c r="D91" s="43">
        <f t="shared" si="58"/>
        <v>494802.2011214298</v>
      </c>
      <c r="E91" s="36">
        <v>36781</v>
      </c>
      <c r="F91" s="43">
        <f t="shared" si="54"/>
        <v>448.79624999999999</v>
      </c>
      <c r="G91" s="36">
        <f t="shared" si="56"/>
        <v>33300</v>
      </c>
      <c r="H91" s="36">
        <f t="shared" si="49"/>
        <v>448796.25</v>
      </c>
      <c r="I91" s="36">
        <v>66600</v>
      </c>
      <c r="J91" s="36">
        <v>650</v>
      </c>
      <c r="K91" s="43">
        <f t="shared" si="55"/>
        <v>598.39499999999998</v>
      </c>
      <c r="L91" s="36">
        <v>598395</v>
      </c>
      <c r="M91" s="43">
        <f t="shared" si="42"/>
        <v>0</v>
      </c>
      <c r="N91" s="36"/>
      <c r="O91" s="43">
        <f t="shared" si="43"/>
        <v>0</v>
      </c>
      <c r="P91" s="36">
        <f t="shared" si="57"/>
        <v>0</v>
      </c>
      <c r="Q91" s="36">
        <v>0</v>
      </c>
      <c r="R91" s="43">
        <f t="shared" si="44"/>
        <v>0</v>
      </c>
      <c r="S91" s="36"/>
      <c r="T91" s="36"/>
      <c r="U91" s="146">
        <f>U8/B8*B91</f>
        <v>458021.2011214298</v>
      </c>
      <c r="V91" s="36">
        <f t="shared" si="45"/>
        <v>494.80220112142979</v>
      </c>
      <c r="W91" s="36">
        <f t="shared" si="46"/>
        <v>448.79624999999999</v>
      </c>
      <c r="X91" s="36">
        <f t="shared" si="47"/>
        <v>650</v>
      </c>
      <c r="Y91" s="43">
        <f t="shared" si="48"/>
        <v>598.39499999999998</v>
      </c>
      <c r="Z91" s="47"/>
      <c r="AA91" s="47"/>
    </row>
    <row r="92" spans="1:27" s="117" customFormat="1" ht="9.9499999999999993" customHeight="1" x14ac:dyDescent="0.15">
      <c r="A92" s="144" t="s">
        <v>32</v>
      </c>
      <c r="B92" s="134">
        <v>0.4</v>
      </c>
      <c r="C92" s="145">
        <f t="shared" si="41"/>
        <v>199.0381640441563</v>
      </c>
      <c r="D92" s="43">
        <f t="shared" si="58"/>
        <v>199038.16404415629</v>
      </c>
      <c r="E92" s="36">
        <v>32485</v>
      </c>
      <c r="F92" s="43">
        <f t="shared" si="54"/>
        <v>182.535</v>
      </c>
      <c r="G92" s="36">
        <f t="shared" si="56"/>
        <v>25000</v>
      </c>
      <c r="H92" s="36">
        <f t="shared" si="49"/>
        <v>182535</v>
      </c>
      <c r="I92" s="36">
        <v>50000</v>
      </c>
      <c r="J92" s="36">
        <v>270</v>
      </c>
      <c r="K92" s="43">
        <f t="shared" si="55"/>
        <v>243.38</v>
      </c>
      <c r="L92" s="36">
        <v>243380</v>
      </c>
      <c r="M92" s="43">
        <f t="shared" si="42"/>
        <v>0</v>
      </c>
      <c r="N92" s="36"/>
      <c r="O92" s="43">
        <f t="shared" si="43"/>
        <v>0</v>
      </c>
      <c r="P92" s="36">
        <f t="shared" si="57"/>
        <v>0</v>
      </c>
      <c r="Q92" s="36">
        <v>0</v>
      </c>
      <c r="R92" s="43">
        <f t="shared" si="44"/>
        <v>0</v>
      </c>
      <c r="S92" s="36"/>
      <c r="T92" s="36"/>
      <c r="U92" s="146">
        <f>U8/B8*B92</f>
        <v>166553.16404415629</v>
      </c>
      <c r="V92" s="36">
        <f t="shared" si="45"/>
        <v>199.0381640441563</v>
      </c>
      <c r="W92" s="36">
        <f t="shared" si="46"/>
        <v>182.535</v>
      </c>
      <c r="X92" s="36">
        <f t="shared" si="47"/>
        <v>270</v>
      </c>
      <c r="Y92" s="43">
        <f t="shared" si="48"/>
        <v>243.38</v>
      </c>
      <c r="Z92" s="47"/>
      <c r="AA92" s="47"/>
    </row>
    <row r="93" spans="1:27" s="117" customFormat="1" ht="9.9499999999999993" customHeight="1" x14ac:dyDescent="0.15">
      <c r="A93" s="144" t="s">
        <v>97</v>
      </c>
      <c r="B93" s="134">
        <v>0.05</v>
      </c>
      <c r="C93" s="145">
        <f t="shared" si="41"/>
        <v>22.880145505519536</v>
      </c>
      <c r="D93" s="43">
        <f t="shared" si="58"/>
        <v>22880.145505519537</v>
      </c>
      <c r="E93" s="36">
        <v>2061</v>
      </c>
      <c r="F93" s="43">
        <f t="shared" si="54"/>
        <v>28.629750000000001</v>
      </c>
      <c r="G93" s="36">
        <f t="shared" si="56"/>
        <v>7000</v>
      </c>
      <c r="H93" s="36">
        <f t="shared" si="49"/>
        <v>28629.75</v>
      </c>
      <c r="I93" s="36">
        <v>14000</v>
      </c>
      <c r="J93" s="36">
        <v>90</v>
      </c>
      <c r="K93" s="43">
        <f t="shared" si="55"/>
        <v>38.173000000000002</v>
      </c>
      <c r="L93" s="36">
        <v>38173</v>
      </c>
      <c r="M93" s="43">
        <f t="shared" si="42"/>
        <v>0</v>
      </c>
      <c r="N93" s="36"/>
      <c r="O93" s="43">
        <f t="shared" si="43"/>
        <v>0</v>
      </c>
      <c r="P93" s="36">
        <f>S93/2</f>
        <v>0</v>
      </c>
      <c r="Q93" s="36">
        <v>0</v>
      </c>
      <c r="R93" s="43">
        <f t="shared" si="44"/>
        <v>0</v>
      </c>
      <c r="S93" s="36"/>
      <c r="T93" s="36"/>
      <c r="U93" s="146">
        <f>U8/B8*B93</f>
        <v>20819.145505519537</v>
      </c>
      <c r="V93" s="36">
        <f t="shared" si="45"/>
        <v>22.880145505519536</v>
      </c>
      <c r="W93" s="36">
        <f t="shared" si="46"/>
        <v>28.629750000000001</v>
      </c>
      <c r="X93" s="36">
        <f t="shared" si="47"/>
        <v>90</v>
      </c>
      <c r="Y93" s="43">
        <f t="shared" si="48"/>
        <v>38.173000000000002</v>
      </c>
      <c r="Z93" s="47"/>
      <c r="AA93" s="47"/>
    </row>
    <row r="94" spans="1:27" s="117" customFormat="1" ht="9" customHeight="1" x14ac:dyDescent="0.15">
      <c r="A94" s="144"/>
      <c r="B94" s="134"/>
      <c r="C94" s="140"/>
      <c r="D94" s="43"/>
      <c r="E94" s="36"/>
      <c r="F94" s="43"/>
      <c r="G94" s="36"/>
      <c r="H94" s="36"/>
      <c r="I94" s="36"/>
      <c r="J94" s="36"/>
      <c r="K94" s="43"/>
      <c r="L94" s="36"/>
      <c r="M94" s="43"/>
      <c r="N94" s="36"/>
      <c r="O94" s="43"/>
      <c r="P94" s="36"/>
      <c r="Q94" s="36"/>
      <c r="R94" s="43"/>
      <c r="S94" s="36"/>
      <c r="T94" s="36"/>
      <c r="U94" s="146"/>
      <c r="V94" s="36"/>
      <c r="W94" s="36"/>
      <c r="X94" s="36"/>
      <c r="Y94" s="41"/>
      <c r="Z94" s="47"/>
      <c r="AA94" s="47"/>
    </row>
    <row r="95" spans="1:27" s="179" customFormat="1" x14ac:dyDescent="0.15">
      <c r="A95" s="168" t="s">
        <v>84</v>
      </c>
      <c r="B95" s="182">
        <f>B96+B97+B98+B99+B100</f>
        <v>6.0699999999999994</v>
      </c>
      <c r="C95" s="170">
        <f t="shared" ref="C95:C100" si="59">D95/1000</f>
        <v>7095.4732643700718</v>
      </c>
      <c r="D95" s="171">
        <f>D96+D97+D98+D99+D100</f>
        <v>7095473.2643700717</v>
      </c>
      <c r="E95" s="171">
        <f>E96+E97+E98+E99+E100</f>
        <v>4568029</v>
      </c>
      <c r="F95" s="171">
        <f t="shared" ref="F95:F100" si="60">H95/1000</f>
        <v>7359.8182500000003</v>
      </c>
      <c r="G95" s="171">
        <f>G96+G97+G98+G99+G100</f>
        <v>3439274</v>
      </c>
      <c r="H95" s="171">
        <f>H96+H97+H98+H99+H100</f>
        <v>7359818.25</v>
      </c>
      <c r="I95" s="171">
        <f>I96+I97+I98+I99+I100</f>
        <v>6878548</v>
      </c>
      <c r="J95" s="171">
        <f>J96+J97+J98+J99+J100</f>
        <v>10280</v>
      </c>
      <c r="K95" s="171">
        <f t="shared" ref="K95:K100" si="61">L95/1000</f>
        <v>9813.0910000000003</v>
      </c>
      <c r="L95" s="176">
        <f>L96+L97+L98+L99+L100</f>
        <v>9813091</v>
      </c>
      <c r="M95" s="171">
        <f t="shared" ref="M95:M100" si="62">N95/1000*-1</f>
        <v>-849.40634999999997</v>
      </c>
      <c r="N95" s="171">
        <f>N96+N97+N98+N99+N100</f>
        <v>849406.35</v>
      </c>
      <c r="O95" s="171">
        <f t="shared" ref="O95:O100" si="63">P95/1000*-1</f>
        <v>-525</v>
      </c>
      <c r="P95" s="171">
        <f>P96+P97+P98+P99+P100</f>
        <v>525000</v>
      </c>
      <c r="Q95" s="171">
        <f>Q96+Q97+Q98+Q99+Q100</f>
        <v>-962</v>
      </c>
      <c r="R95" s="171">
        <f t="shared" ref="R95:R100" si="64">S95/1000*-1</f>
        <v>-700</v>
      </c>
      <c r="S95" s="176">
        <f>S96+S97+S98+S99+S100</f>
        <v>700000</v>
      </c>
      <c r="T95" s="176">
        <f>T96+T97+T98+T99+T100</f>
        <v>849406.35</v>
      </c>
      <c r="U95" s="181">
        <f>U96+U97+U98+U99+U100</f>
        <v>2527444.2643700712</v>
      </c>
      <c r="V95" s="173">
        <f t="shared" ref="V95:V100" si="65">C95+M95</f>
        <v>6246.0669143700716</v>
      </c>
      <c r="W95" s="173">
        <f t="shared" ref="W95:W100" si="66">F95+O95</f>
        <v>6834.8182500000003</v>
      </c>
      <c r="X95" s="173">
        <f t="shared" ref="X95:Y100" si="67">J95+Q95</f>
        <v>9318</v>
      </c>
      <c r="Y95" s="171">
        <f t="shared" si="67"/>
        <v>9113.0910000000003</v>
      </c>
      <c r="Z95" s="174"/>
      <c r="AA95" s="174"/>
    </row>
    <row r="96" spans="1:27" s="117" customFormat="1" ht="9.9499999999999993" customHeight="1" x14ac:dyDescent="0.15">
      <c r="A96" s="142" t="s">
        <v>67</v>
      </c>
      <c r="B96" s="125">
        <v>1.38</v>
      </c>
      <c r="C96" s="140">
        <f t="shared" si="59"/>
        <v>1008.2394159523391</v>
      </c>
      <c r="D96" s="41">
        <f>E96+U96</f>
        <v>1008239.4159523391</v>
      </c>
      <c r="E96" s="33">
        <f>429335+4296</f>
        <v>433631</v>
      </c>
      <c r="F96" s="41">
        <f t="shared" si="60"/>
        <v>809.37075000000004</v>
      </c>
      <c r="G96" s="33">
        <f>I96/2</f>
        <v>206000</v>
      </c>
      <c r="H96" s="33">
        <f>L96*0.75</f>
        <v>809370.75</v>
      </c>
      <c r="I96" s="33">
        <v>412000</v>
      </c>
      <c r="J96" s="33">
        <v>1345</v>
      </c>
      <c r="K96" s="41">
        <f t="shared" si="61"/>
        <v>1079.1610000000001</v>
      </c>
      <c r="L96" s="33">
        <v>1079161</v>
      </c>
      <c r="M96" s="41">
        <f t="shared" si="62"/>
        <v>0</v>
      </c>
      <c r="N96" s="33"/>
      <c r="O96" s="41">
        <f t="shared" si="63"/>
        <v>0</v>
      </c>
      <c r="P96" s="33">
        <f>S96*0.75</f>
        <v>0</v>
      </c>
      <c r="Q96" s="33">
        <v>0</v>
      </c>
      <c r="R96" s="41">
        <f t="shared" si="64"/>
        <v>0</v>
      </c>
      <c r="S96" s="33"/>
      <c r="T96" s="33"/>
      <c r="U96" s="143">
        <f>U8/B8*B96</f>
        <v>574608.41595233907</v>
      </c>
      <c r="V96" s="33">
        <f t="shared" si="65"/>
        <v>1008.2394159523391</v>
      </c>
      <c r="W96" s="33">
        <f t="shared" si="66"/>
        <v>809.37075000000004</v>
      </c>
      <c r="X96" s="33">
        <f t="shared" si="67"/>
        <v>1345</v>
      </c>
      <c r="Y96" s="41">
        <f t="shared" si="67"/>
        <v>1079.1610000000001</v>
      </c>
      <c r="Z96" s="47"/>
      <c r="AA96" s="47"/>
    </row>
    <row r="97" spans="1:27" s="117" customFormat="1" ht="9.9499999999999993" customHeight="1" x14ac:dyDescent="0.15">
      <c r="A97" s="142" t="s">
        <v>68</v>
      </c>
      <c r="B97" s="125">
        <v>1.59</v>
      </c>
      <c r="C97" s="140">
        <f t="shared" si="59"/>
        <v>713.13782707552127</v>
      </c>
      <c r="D97" s="41">
        <f>E97+U97</f>
        <v>713137.82707552123</v>
      </c>
      <c r="E97" s="33">
        <v>51089</v>
      </c>
      <c r="F97" s="41">
        <f t="shared" si="60"/>
        <v>821.0145</v>
      </c>
      <c r="G97" s="33">
        <f>I97/2</f>
        <v>163000</v>
      </c>
      <c r="H97" s="33">
        <f>L97*0.75</f>
        <v>821014.5</v>
      </c>
      <c r="I97" s="33">
        <v>326000</v>
      </c>
      <c r="J97" s="33">
        <v>1100</v>
      </c>
      <c r="K97" s="41">
        <f t="shared" si="61"/>
        <v>1094.6859999999999</v>
      </c>
      <c r="L97" s="33">
        <v>1094686</v>
      </c>
      <c r="M97" s="41">
        <f t="shared" si="62"/>
        <v>0</v>
      </c>
      <c r="N97" s="33"/>
      <c r="O97" s="41">
        <f t="shared" si="63"/>
        <v>0</v>
      </c>
      <c r="P97" s="33">
        <f>S97*0.75</f>
        <v>0</v>
      </c>
      <c r="Q97" s="33">
        <v>0</v>
      </c>
      <c r="R97" s="41">
        <f t="shared" si="64"/>
        <v>0</v>
      </c>
      <c r="S97" s="33"/>
      <c r="T97" s="33"/>
      <c r="U97" s="143">
        <f>U8/B8*B97</f>
        <v>662048.82707552123</v>
      </c>
      <c r="V97" s="33">
        <f t="shared" si="65"/>
        <v>713.13782707552127</v>
      </c>
      <c r="W97" s="33">
        <f t="shared" si="66"/>
        <v>821.0145</v>
      </c>
      <c r="X97" s="33">
        <f t="shared" si="67"/>
        <v>1100</v>
      </c>
      <c r="Y97" s="41">
        <f t="shared" si="67"/>
        <v>1094.6859999999999</v>
      </c>
      <c r="Z97" s="47"/>
      <c r="AA97" s="47"/>
    </row>
    <row r="98" spans="1:27" s="117" customFormat="1" ht="9.9499999999999993" customHeight="1" x14ac:dyDescent="0.15">
      <c r="A98" s="142" t="s">
        <v>69</v>
      </c>
      <c r="B98" s="125">
        <v>1.1499999999999999</v>
      </c>
      <c r="C98" s="140">
        <f t="shared" si="59"/>
        <v>712.25434662694931</v>
      </c>
      <c r="D98" s="41">
        <f>E98+U98</f>
        <v>712254.34662694926</v>
      </c>
      <c r="E98" s="33">
        <v>233414</v>
      </c>
      <c r="F98" s="41">
        <f t="shared" si="60"/>
        <v>634.476</v>
      </c>
      <c r="G98" s="33">
        <f>I98/2</f>
        <v>145000</v>
      </c>
      <c r="H98" s="33">
        <f>L98*0.75</f>
        <v>634476</v>
      </c>
      <c r="I98" s="33">
        <v>290000</v>
      </c>
      <c r="J98" s="33">
        <v>1000</v>
      </c>
      <c r="K98" s="41">
        <f t="shared" si="61"/>
        <v>845.96799999999996</v>
      </c>
      <c r="L98" s="33">
        <v>845968</v>
      </c>
      <c r="M98" s="41">
        <f t="shared" si="62"/>
        <v>0</v>
      </c>
      <c r="N98" s="33"/>
      <c r="O98" s="41">
        <f t="shared" si="63"/>
        <v>0</v>
      </c>
      <c r="P98" s="33">
        <f>S98*0.75</f>
        <v>0</v>
      </c>
      <c r="Q98" s="33">
        <v>0</v>
      </c>
      <c r="R98" s="41">
        <f t="shared" si="64"/>
        <v>0</v>
      </c>
      <c r="S98" s="33"/>
      <c r="T98" s="33"/>
      <c r="U98" s="143">
        <f>U8/B8*B98</f>
        <v>478840.34662694926</v>
      </c>
      <c r="V98" s="33">
        <f t="shared" si="65"/>
        <v>712.25434662694931</v>
      </c>
      <c r="W98" s="33">
        <f t="shared" si="66"/>
        <v>634.476</v>
      </c>
      <c r="X98" s="33">
        <f t="shared" si="67"/>
        <v>1000</v>
      </c>
      <c r="Y98" s="41">
        <f t="shared" si="67"/>
        <v>845.96799999999996</v>
      </c>
      <c r="Z98" s="47"/>
      <c r="AA98" s="47"/>
    </row>
    <row r="99" spans="1:27" s="117" customFormat="1" ht="9.9499999999999993" customHeight="1" x14ac:dyDescent="0.15">
      <c r="A99" s="142" t="s">
        <v>70</v>
      </c>
      <c r="B99" s="125">
        <v>1.1499999999999999</v>
      </c>
      <c r="C99" s="140">
        <f t="shared" si="59"/>
        <v>3778.7943466269494</v>
      </c>
      <c r="D99" s="41">
        <f>E99+U99</f>
        <v>3778794.3466269495</v>
      </c>
      <c r="E99" s="33">
        <v>3299954</v>
      </c>
      <c r="F99" s="41">
        <f t="shared" si="60"/>
        <v>4168.9260000000004</v>
      </c>
      <c r="G99" s="33">
        <f>I99/2</f>
        <v>2501300</v>
      </c>
      <c r="H99" s="33">
        <f>L99*0.75</f>
        <v>4168926</v>
      </c>
      <c r="I99" s="33">
        <v>5002600</v>
      </c>
      <c r="J99" s="33">
        <v>5600</v>
      </c>
      <c r="K99" s="41">
        <f t="shared" si="61"/>
        <v>5558.5680000000002</v>
      </c>
      <c r="L99" s="33">
        <v>5558568</v>
      </c>
      <c r="M99" s="41">
        <f t="shared" si="62"/>
        <v>-849.40634999999997</v>
      </c>
      <c r="N99" s="33">
        <f>669343+180063.35</f>
        <v>849406.35</v>
      </c>
      <c r="O99" s="41">
        <f t="shared" si="63"/>
        <v>-525</v>
      </c>
      <c r="P99" s="33">
        <f>S99*0.75</f>
        <v>525000</v>
      </c>
      <c r="Q99" s="33">
        <v>-962</v>
      </c>
      <c r="R99" s="41">
        <f t="shared" si="64"/>
        <v>-700</v>
      </c>
      <c r="S99" s="33">
        <v>700000</v>
      </c>
      <c r="T99" s="33">
        <f>669343+180063.35</f>
        <v>849406.35</v>
      </c>
      <c r="U99" s="143">
        <f>U8/B8*B99</f>
        <v>478840.34662694926</v>
      </c>
      <c r="V99" s="33">
        <f t="shared" si="65"/>
        <v>2929.3879966269496</v>
      </c>
      <c r="W99" s="33">
        <f t="shared" si="66"/>
        <v>3643.9260000000004</v>
      </c>
      <c r="X99" s="33">
        <f t="shared" si="67"/>
        <v>4638</v>
      </c>
      <c r="Y99" s="41">
        <f t="shared" si="67"/>
        <v>4858.5680000000002</v>
      </c>
      <c r="Z99" s="47"/>
      <c r="AA99" s="47"/>
    </row>
    <row r="100" spans="1:27" s="117" customFormat="1" ht="9.9499999999999993" customHeight="1" x14ac:dyDescent="0.15">
      <c r="A100" s="142" t="s">
        <v>71</v>
      </c>
      <c r="B100" s="125">
        <v>0.8</v>
      </c>
      <c r="C100" s="140">
        <f t="shared" si="59"/>
        <v>883.04732808831261</v>
      </c>
      <c r="D100" s="41">
        <f>E100+U100</f>
        <v>883047.32808831264</v>
      </c>
      <c r="E100" s="33">
        <v>549941</v>
      </c>
      <c r="F100" s="41">
        <f t="shared" si="60"/>
        <v>926.03099999999995</v>
      </c>
      <c r="G100" s="33">
        <f>I100/2</f>
        <v>423974</v>
      </c>
      <c r="H100" s="33">
        <f>L100*0.75</f>
        <v>926031</v>
      </c>
      <c r="I100" s="33">
        <v>847948</v>
      </c>
      <c r="J100" s="33">
        <v>1235</v>
      </c>
      <c r="K100" s="41">
        <f t="shared" si="61"/>
        <v>1234.7080000000001</v>
      </c>
      <c r="L100" s="33">
        <v>1234708</v>
      </c>
      <c r="M100" s="41">
        <f t="shared" si="62"/>
        <v>0</v>
      </c>
      <c r="N100" s="33"/>
      <c r="O100" s="41">
        <f t="shared" si="63"/>
        <v>0</v>
      </c>
      <c r="P100" s="33">
        <f>S100*0.75</f>
        <v>0</v>
      </c>
      <c r="Q100" s="33">
        <v>0</v>
      </c>
      <c r="R100" s="41">
        <f t="shared" si="64"/>
        <v>0</v>
      </c>
      <c r="S100" s="33"/>
      <c r="T100" s="33"/>
      <c r="U100" s="143">
        <f>U8/B8*B100</f>
        <v>333106.32808831258</v>
      </c>
      <c r="V100" s="33">
        <f t="shared" si="65"/>
        <v>883.04732808831261</v>
      </c>
      <c r="W100" s="33">
        <f t="shared" si="66"/>
        <v>926.03099999999995</v>
      </c>
      <c r="X100" s="33">
        <f t="shared" si="67"/>
        <v>1235</v>
      </c>
      <c r="Y100" s="41">
        <f t="shared" si="67"/>
        <v>1234.7080000000001</v>
      </c>
      <c r="Z100" s="47"/>
      <c r="AA100" s="47"/>
    </row>
    <row r="101" spans="1:27" s="117" customFormat="1" ht="9" customHeight="1" x14ac:dyDescent="0.15">
      <c r="A101" s="152"/>
      <c r="B101" s="125"/>
      <c r="C101" s="140"/>
      <c r="D101" s="41"/>
      <c r="E101" s="33"/>
      <c r="F101" s="41"/>
      <c r="G101" s="33"/>
      <c r="H101" s="33"/>
      <c r="I101" s="33"/>
      <c r="J101" s="33"/>
      <c r="K101" s="41"/>
      <c r="L101" s="33"/>
      <c r="M101" s="41"/>
      <c r="N101" s="33"/>
      <c r="O101" s="41"/>
      <c r="P101" s="33"/>
      <c r="Q101" s="33"/>
      <c r="R101" s="41"/>
      <c r="S101" s="33"/>
      <c r="T101" s="33"/>
      <c r="U101" s="143"/>
      <c r="V101" s="33"/>
      <c r="W101" s="33"/>
      <c r="X101" s="36"/>
      <c r="Y101" s="41"/>
      <c r="Z101" s="47"/>
      <c r="AA101" s="47"/>
    </row>
    <row r="102" spans="1:27" s="179" customFormat="1" x14ac:dyDescent="0.15">
      <c r="A102" s="168" t="s">
        <v>85</v>
      </c>
      <c r="B102" s="182">
        <f>B103+B105+B104+B106</f>
        <v>6.8599999999999994</v>
      </c>
      <c r="C102" s="170">
        <f>D102/1000</f>
        <v>12398.455023357279</v>
      </c>
      <c r="D102" s="171">
        <f>D103+D105+D104+D106</f>
        <v>12398455.02335728</v>
      </c>
      <c r="E102" s="171">
        <f>E103+E105+E104+E106</f>
        <v>9542068.2599999998</v>
      </c>
      <c r="F102" s="171">
        <f>H102/1000</f>
        <v>13463.55075</v>
      </c>
      <c r="G102" s="171">
        <f>G103+G105+G104+G106</f>
        <v>6541808.5</v>
      </c>
      <c r="H102" s="171">
        <f>H103+H105+H104+H106</f>
        <v>13463550.75</v>
      </c>
      <c r="I102" s="171">
        <f>I103+I105+I104+I106</f>
        <v>13083617</v>
      </c>
      <c r="J102" s="171">
        <f>J103+J104+J105+J106</f>
        <v>18295</v>
      </c>
      <c r="K102" s="171">
        <f>L102/1000</f>
        <v>17951.401000000002</v>
      </c>
      <c r="L102" s="176">
        <f>L103+L105+L104+L106</f>
        <v>17951401</v>
      </c>
      <c r="M102" s="171">
        <f>N102/1000*-1</f>
        <v>-50008.743019999994</v>
      </c>
      <c r="N102" s="171">
        <f>N103+N105+N104+N106</f>
        <v>50008743.019999996</v>
      </c>
      <c r="O102" s="171">
        <f>P102/1000*-1</f>
        <v>-46057.508999999998</v>
      </c>
      <c r="P102" s="171">
        <f>P103+P105+P104+P106</f>
        <v>46057509</v>
      </c>
      <c r="Q102" s="171">
        <f>Q103+Q104+Q105+Q106</f>
        <v>-65800</v>
      </c>
      <c r="R102" s="171">
        <f>S102/1000*-1</f>
        <v>-61410.012000000002</v>
      </c>
      <c r="S102" s="176">
        <f>S103+S105+S104+S106</f>
        <v>61410012</v>
      </c>
      <c r="T102" s="176">
        <f>T103+T105+T104+T106</f>
        <v>50008743.019999996</v>
      </c>
      <c r="U102" s="181">
        <f>U103+U105+U104+U106</f>
        <v>2856386.7633572798</v>
      </c>
      <c r="V102" s="173">
        <f>C102+M102</f>
        <v>-37610.287996642714</v>
      </c>
      <c r="W102" s="173">
        <f>F102+O102</f>
        <v>-32593.958249999996</v>
      </c>
      <c r="X102" s="173">
        <f t="shared" ref="X102:Y106" si="68">J102+Q102</f>
        <v>-47505</v>
      </c>
      <c r="Y102" s="171">
        <f t="shared" si="68"/>
        <v>-43458.611000000004</v>
      </c>
      <c r="Z102" s="174"/>
      <c r="AA102" s="174"/>
    </row>
    <row r="103" spans="1:27" s="118" customFormat="1" ht="9.9499999999999993" customHeight="1" x14ac:dyDescent="0.15">
      <c r="A103" s="152" t="s">
        <v>72</v>
      </c>
      <c r="B103" s="125">
        <v>3.01</v>
      </c>
      <c r="C103" s="140">
        <f>D103/1000</f>
        <v>4772.0545594322757</v>
      </c>
      <c r="D103" s="41">
        <f>E103+U103</f>
        <v>4772054.5594322756</v>
      </c>
      <c r="E103" s="33">
        <v>3518742</v>
      </c>
      <c r="F103" s="41">
        <f>H103/1000</f>
        <v>5267.2102500000001</v>
      </c>
      <c r="G103" s="33">
        <f>I103/2</f>
        <v>2783881</v>
      </c>
      <c r="H103" s="33">
        <f>L103*0.75</f>
        <v>5267210.25</v>
      </c>
      <c r="I103" s="33">
        <v>5567762</v>
      </c>
      <c r="J103" s="33">
        <v>7100</v>
      </c>
      <c r="K103" s="41">
        <f>L103/1000</f>
        <v>7022.9470000000001</v>
      </c>
      <c r="L103" s="33">
        <v>7022947</v>
      </c>
      <c r="M103" s="41">
        <f>N103/1000*-1</f>
        <v>-38925.231549999997</v>
      </c>
      <c r="N103" s="33">
        <f>38919711.55+5520</f>
        <v>38925231.549999997</v>
      </c>
      <c r="O103" s="41">
        <f>P103/1000*-1</f>
        <v>-39363.758999999998</v>
      </c>
      <c r="P103" s="33">
        <f>S103*0.75</f>
        <v>39363759</v>
      </c>
      <c r="Q103" s="33">
        <v>-51500</v>
      </c>
      <c r="R103" s="41">
        <f>S103/1000*-1</f>
        <v>-52485.012000000002</v>
      </c>
      <c r="S103" s="33">
        <v>52485012</v>
      </c>
      <c r="T103" s="33">
        <f>38919711.55+5520</f>
        <v>38925231.549999997</v>
      </c>
      <c r="U103" s="143">
        <f>U8/B8*B103</f>
        <v>1253312.5594322758</v>
      </c>
      <c r="V103" s="33">
        <f>C103+M103</f>
        <v>-34153.176990567721</v>
      </c>
      <c r="W103" s="33">
        <f>F103+O103</f>
        <v>-34096.548750000002</v>
      </c>
      <c r="X103" s="33">
        <f t="shared" si="68"/>
        <v>-44400</v>
      </c>
      <c r="Y103" s="41">
        <f t="shared" si="68"/>
        <v>-45462.065000000002</v>
      </c>
      <c r="Z103" s="47"/>
      <c r="AA103" s="47"/>
    </row>
    <row r="104" spans="1:27" s="118" customFormat="1" ht="9.9499999999999993" customHeight="1" x14ac:dyDescent="0.15">
      <c r="A104" s="152" t="s">
        <v>73</v>
      </c>
      <c r="B104" s="125">
        <v>2.35</v>
      </c>
      <c r="C104" s="140">
        <f>D104/1000</f>
        <v>5475.987838759419</v>
      </c>
      <c r="D104" s="41">
        <f>E104+U104</f>
        <v>5475987.8387594186</v>
      </c>
      <c r="E104" s="33">
        <v>4497488</v>
      </c>
      <c r="F104" s="41">
        <f>H104/1000</f>
        <v>5350.2472500000003</v>
      </c>
      <c r="G104" s="33">
        <f>I104/2</f>
        <v>2998777.5</v>
      </c>
      <c r="H104" s="33">
        <f>L104*0.75</f>
        <v>5350247.25</v>
      </c>
      <c r="I104" s="33">
        <v>5997555</v>
      </c>
      <c r="J104" s="33">
        <v>7300</v>
      </c>
      <c r="K104" s="41">
        <f>L104/1000</f>
        <v>7133.6629999999996</v>
      </c>
      <c r="L104" s="33">
        <v>7133663</v>
      </c>
      <c r="M104" s="41">
        <f>N104/1000*-1</f>
        <v>0</v>
      </c>
      <c r="N104" s="33"/>
      <c r="O104" s="41">
        <f>P104/1000*-1</f>
        <v>0</v>
      </c>
      <c r="P104" s="33">
        <f>S104*0.75</f>
        <v>0</v>
      </c>
      <c r="Q104" s="33">
        <v>0</v>
      </c>
      <c r="R104" s="41">
        <f>S104/1000*-1</f>
        <v>0</v>
      </c>
      <c r="S104" s="33"/>
      <c r="T104" s="33"/>
      <c r="U104" s="143">
        <f>U8/B8*B104</f>
        <v>978499.83875941811</v>
      </c>
      <c r="V104" s="33">
        <f>C104+M104</f>
        <v>5475.987838759419</v>
      </c>
      <c r="W104" s="33">
        <f>F104+O104</f>
        <v>5350.2472500000003</v>
      </c>
      <c r="X104" s="33">
        <f t="shared" si="68"/>
        <v>7300</v>
      </c>
      <c r="Y104" s="41">
        <f t="shared" si="68"/>
        <v>7133.6629999999996</v>
      </c>
      <c r="Z104" s="47"/>
      <c r="AA104" s="47"/>
    </row>
    <row r="105" spans="1:27" s="118" customFormat="1" ht="9.9499999999999993" customHeight="1" x14ac:dyDescent="0.15">
      <c r="A105" s="152" t="s">
        <v>74</v>
      </c>
      <c r="B105" s="125">
        <v>0.15</v>
      </c>
      <c r="C105" s="140">
        <f>D105/1000</f>
        <v>444.80843651655857</v>
      </c>
      <c r="D105" s="41">
        <f>E105+U105</f>
        <v>444808.43651655858</v>
      </c>
      <c r="E105" s="33">
        <v>382351</v>
      </c>
      <c r="F105" s="41">
        <f>H105/1000</f>
        <v>866.87474999999995</v>
      </c>
      <c r="G105" s="33">
        <f>I105/2</f>
        <v>541000</v>
      </c>
      <c r="H105" s="33">
        <f>L105*0.75</f>
        <v>866874.75</v>
      </c>
      <c r="I105" s="33">
        <v>1082000</v>
      </c>
      <c r="J105" s="33">
        <v>1256</v>
      </c>
      <c r="K105" s="41">
        <f>L105/1000</f>
        <v>1155.8330000000001</v>
      </c>
      <c r="L105" s="33">
        <v>1155833</v>
      </c>
      <c r="M105" s="41">
        <f>N105/1000*-1</f>
        <v>-9610.5287099999987</v>
      </c>
      <c r="N105" s="33">
        <f>8086310.93+285115+708180+149000+381922.78</f>
        <v>9610528.709999999</v>
      </c>
      <c r="O105" s="41">
        <f>P105/1000*-1</f>
        <v>-4350</v>
      </c>
      <c r="P105" s="33">
        <f>S105*0.75</f>
        <v>4350000</v>
      </c>
      <c r="Q105" s="33">
        <v>-11300</v>
      </c>
      <c r="R105" s="41">
        <f>S105/1000*-1</f>
        <v>-5800</v>
      </c>
      <c r="S105" s="33">
        <v>5800000</v>
      </c>
      <c r="T105" s="33">
        <f>8086310.93+285115+708180+381922.78+149000</f>
        <v>9610528.709999999</v>
      </c>
      <c r="U105" s="143">
        <f>U8/B8*B105</f>
        <v>62457.436516558599</v>
      </c>
      <c r="V105" s="33">
        <f>C105+M105</f>
        <v>-9165.7202734834409</v>
      </c>
      <c r="W105" s="33">
        <f>F105+O105</f>
        <v>-3483.1252500000001</v>
      </c>
      <c r="X105" s="33">
        <f t="shared" si="68"/>
        <v>-10044</v>
      </c>
      <c r="Y105" s="41">
        <f t="shared" si="68"/>
        <v>-4644.1669999999995</v>
      </c>
      <c r="Z105" s="47"/>
      <c r="AA105" s="47"/>
    </row>
    <row r="106" spans="1:27" s="118" customFormat="1" ht="9.9499999999999993" customHeight="1" x14ac:dyDescent="0.15">
      <c r="A106" s="152" t="s">
        <v>75</v>
      </c>
      <c r="B106" s="125">
        <v>1.35</v>
      </c>
      <c r="C106" s="140">
        <f>D106/1000</f>
        <v>1705.6041886490277</v>
      </c>
      <c r="D106" s="41">
        <f>E106+U106</f>
        <v>1705604.1886490276</v>
      </c>
      <c r="E106" s="33">
        <f>254247+889240.26</f>
        <v>1143487.26</v>
      </c>
      <c r="F106" s="41">
        <f>H106/1000</f>
        <v>1979.2184999999999</v>
      </c>
      <c r="G106" s="33">
        <f>I106/2</f>
        <v>218150</v>
      </c>
      <c r="H106" s="33">
        <f>L106*0.75</f>
        <v>1979218.5</v>
      </c>
      <c r="I106" s="33">
        <v>436300</v>
      </c>
      <c r="J106" s="33">
        <v>2639</v>
      </c>
      <c r="K106" s="41">
        <f>L106/1000</f>
        <v>2638.9580000000001</v>
      </c>
      <c r="L106" s="33">
        <v>2638958</v>
      </c>
      <c r="M106" s="41">
        <f>N106/1000*-1</f>
        <v>-1472.9827600000001</v>
      </c>
      <c r="N106" s="33">
        <f>1257829.76+675+214478</f>
        <v>1472982.76</v>
      </c>
      <c r="O106" s="41">
        <f>P106/1000*-1</f>
        <v>-2343.75</v>
      </c>
      <c r="P106" s="33">
        <f>S106*0.75</f>
        <v>2343750</v>
      </c>
      <c r="Q106" s="33">
        <v>-3000</v>
      </c>
      <c r="R106" s="41">
        <f>S106/1000*-1</f>
        <v>-3125</v>
      </c>
      <c r="S106" s="33">
        <v>3125000</v>
      </c>
      <c r="T106" s="33">
        <f>1257829.76+675+214478</f>
        <v>1472982.76</v>
      </c>
      <c r="U106" s="143">
        <f>U8/B8*B106</f>
        <v>562116.92864902748</v>
      </c>
      <c r="V106" s="33">
        <f>C106+M106</f>
        <v>232.62142864902762</v>
      </c>
      <c r="W106" s="33">
        <f>F106+O106</f>
        <v>-364.53150000000005</v>
      </c>
      <c r="X106" s="33">
        <f t="shared" si="68"/>
        <v>-361</v>
      </c>
      <c r="Y106" s="41">
        <f t="shared" si="68"/>
        <v>-486.04199999999992</v>
      </c>
      <c r="Z106" s="47"/>
      <c r="AA106" s="47"/>
    </row>
    <row r="107" spans="1:27" s="118" customFormat="1" ht="9" customHeight="1" x14ac:dyDescent="0.15">
      <c r="A107" s="152"/>
      <c r="B107" s="125"/>
      <c r="C107" s="140"/>
      <c r="D107" s="41"/>
      <c r="E107" s="33"/>
      <c r="F107" s="41"/>
      <c r="G107" s="33"/>
      <c r="H107" s="33"/>
      <c r="I107" s="33"/>
      <c r="J107" s="33"/>
      <c r="K107" s="41"/>
      <c r="L107" s="33"/>
      <c r="M107" s="41"/>
      <c r="N107" s="33"/>
      <c r="O107" s="41"/>
      <c r="P107" s="33"/>
      <c r="Q107" s="33"/>
      <c r="R107" s="41"/>
      <c r="S107" s="33"/>
      <c r="T107" s="33"/>
      <c r="U107" s="143"/>
      <c r="V107" s="33"/>
      <c r="W107" s="33"/>
      <c r="X107" s="36"/>
      <c r="Y107" s="41"/>
      <c r="Z107" s="47"/>
      <c r="AA107" s="47"/>
    </row>
    <row r="108" spans="1:27" s="184" customFormat="1" x14ac:dyDescent="0.15">
      <c r="A108" s="183" t="s">
        <v>86</v>
      </c>
      <c r="B108" s="182">
        <f>B109+B110+B111+B112+B113+B114</f>
        <v>8.65</v>
      </c>
      <c r="C108" s="170">
        <f t="shared" ref="C108:C114" si="69">D108/1000</f>
        <v>10529.767172454878</v>
      </c>
      <c r="D108" s="171">
        <f>D109+D110+D111+D112+D113+D114</f>
        <v>10529767.172454879</v>
      </c>
      <c r="E108" s="171">
        <f>E109+E110+E111+E112+E113+E114</f>
        <v>6928055</v>
      </c>
      <c r="F108" s="171">
        <f t="shared" ref="F108:F121" si="70">H108/1000</f>
        <v>8879.5079999999998</v>
      </c>
      <c r="G108" s="171">
        <f>G109+G110+G111+G112+G113+G114</f>
        <v>3578750</v>
      </c>
      <c r="H108" s="171">
        <f>H109+H110+H111+H112+H113+H114</f>
        <v>8879508</v>
      </c>
      <c r="I108" s="171">
        <f>I109+I110+I111+I112+I113+I114</f>
        <v>7157500</v>
      </c>
      <c r="J108" s="171">
        <f>J109+J110+J111+J112+J113+J114</f>
        <v>14585</v>
      </c>
      <c r="K108" s="171">
        <f t="shared" ref="K108:K114" si="71">L108/1000</f>
        <v>11839.343999999999</v>
      </c>
      <c r="L108" s="176">
        <f>L109+L110+L111+L112+L113+L114</f>
        <v>11839344</v>
      </c>
      <c r="M108" s="171">
        <f t="shared" ref="M108:M114" si="72">N108/1000*-1</f>
        <v>-476.20021000000003</v>
      </c>
      <c r="N108" s="171">
        <f>N109+N110+N111+N112+N113+N114</f>
        <v>476200.21</v>
      </c>
      <c r="O108" s="171">
        <f t="shared" ref="O108:O114" si="73">P108/1000*-1</f>
        <v>0</v>
      </c>
      <c r="P108" s="171">
        <f>P109+P110+P111+P112+P113+P114</f>
        <v>0</v>
      </c>
      <c r="Q108" s="171">
        <v>0</v>
      </c>
      <c r="R108" s="171">
        <f t="shared" ref="R108:R114" si="74">S108/1000*-1</f>
        <v>0</v>
      </c>
      <c r="S108" s="176">
        <f>S109+S110+S111+S112+S113+S114</f>
        <v>0</v>
      </c>
      <c r="T108" s="176">
        <f>T109+T110+T111+T112+T113+T114</f>
        <v>476200.21</v>
      </c>
      <c r="U108" s="181"/>
      <c r="V108" s="173">
        <f t="shared" ref="V108:V114" si="75">C108+M108</f>
        <v>10053.566962454877</v>
      </c>
      <c r="W108" s="173">
        <f t="shared" ref="W108:W114" si="76">F108+O108</f>
        <v>8879.5079999999998</v>
      </c>
      <c r="X108" s="173">
        <f t="shared" ref="X108:Y114" si="77">J108+Q108</f>
        <v>14585</v>
      </c>
      <c r="Y108" s="171">
        <f t="shared" si="77"/>
        <v>11839.343999999999</v>
      </c>
      <c r="Z108" s="174"/>
      <c r="AA108" s="174"/>
    </row>
    <row r="109" spans="1:27" s="118" customFormat="1" ht="9.9499999999999993" customHeight="1" x14ac:dyDescent="0.15">
      <c r="A109" s="142" t="s">
        <v>76</v>
      </c>
      <c r="B109" s="125">
        <v>0.7</v>
      </c>
      <c r="C109" s="140">
        <f t="shared" si="69"/>
        <v>577.46003707727345</v>
      </c>
      <c r="D109" s="41">
        <f t="shared" ref="D109:D114" si="78">E109+U109</f>
        <v>577460.03707727348</v>
      </c>
      <c r="E109" s="33">
        <v>285992</v>
      </c>
      <c r="F109" s="41">
        <f t="shared" si="70"/>
        <v>699.31124999999997</v>
      </c>
      <c r="G109" s="33">
        <f>I109/2</f>
        <v>47000</v>
      </c>
      <c r="H109" s="33">
        <f t="shared" ref="H109:H114" si="79">L109*0.75</f>
        <v>699311.25</v>
      </c>
      <c r="I109" s="33">
        <v>94000</v>
      </c>
      <c r="J109" s="33">
        <v>985</v>
      </c>
      <c r="K109" s="41">
        <f t="shared" si="71"/>
        <v>932.41499999999996</v>
      </c>
      <c r="L109" s="33">
        <v>932415</v>
      </c>
      <c r="M109" s="41">
        <f t="shared" si="72"/>
        <v>0</v>
      </c>
      <c r="N109" s="33"/>
      <c r="O109" s="41">
        <f t="shared" si="73"/>
        <v>0</v>
      </c>
      <c r="P109" s="33">
        <f t="shared" ref="P109:P114" si="80">S109*0.75</f>
        <v>0</v>
      </c>
      <c r="Q109" s="33">
        <v>0</v>
      </c>
      <c r="R109" s="41">
        <f t="shared" si="74"/>
        <v>0</v>
      </c>
      <c r="S109" s="33"/>
      <c r="T109" s="33"/>
      <c r="U109" s="143">
        <f>U8/B8*B109</f>
        <v>291468.03707727348</v>
      </c>
      <c r="V109" s="33">
        <f t="shared" si="75"/>
        <v>577.46003707727345</v>
      </c>
      <c r="W109" s="33">
        <f t="shared" si="76"/>
        <v>699.31124999999997</v>
      </c>
      <c r="X109" s="33">
        <f t="shared" si="77"/>
        <v>985</v>
      </c>
      <c r="Y109" s="41">
        <f t="shared" si="77"/>
        <v>932.41499999999996</v>
      </c>
      <c r="Z109" s="47"/>
      <c r="AA109" s="47"/>
    </row>
    <row r="110" spans="1:27" s="118" customFormat="1" ht="9.9499999999999993" customHeight="1" x14ac:dyDescent="0.15">
      <c r="A110" s="142" t="s">
        <v>77</v>
      </c>
      <c r="B110" s="125">
        <v>0.45</v>
      </c>
      <c r="C110" s="140">
        <f t="shared" si="69"/>
        <v>1198.4043095496759</v>
      </c>
      <c r="D110" s="41">
        <f t="shared" si="78"/>
        <v>1198404.3095496758</v>
      </c>
      <c r="E110" s="33">
        <v>1011032</v>
      </c>
      <c r="F110" s="41">
        <f t="shared" si="70"/>
        <v>589.91475000000003</v>
      </c>
      <c r="G110" s="33">
        <f>I110/2</f>
        <v>284500</v>
      </c>
      <c r="H110" s="33">
        <f t="shared" si="79"/>
        <v>589914.75</v>
      </c>
      <c r="I110" s="33">
        <v>569000</v>
      </c>
      <c r="J110" s="33">
        <v>1650</v>
      </c>
      <c r="K110" s="41">
        <f t="shared" si="71"/>
        <v>786.553</v>
      </c>
      <c r="L110" s="33">
        <v>786553</v>
      </c>
      <c r="M110" s="41">
        <f t="shared" si="72"/>
        <v>0</v>
      </c>
      <c r="N110" s="33"/>
      <c r="O110" s="41">
        <f t="shared" si="73"/>
        <v>0</v>
      </c>
      <c r="P110" s="33">
        <f t="shared" si="80"/>
        <v>0</v>
      </c>
      <c r="Q110" s="33">
        <v>0</v>
      </c>
      <c r="R110" s="41">
        <f t="shared" si="74"/>
        <v>0</v>
      </c>
      <c r="S110" s="33"/>
      <c r="T110" s="33"/>
      <c r="U110" s="143">
        <f>U8/B8*B110</f>
        <v>187372.30954967582</v>
      </c>
      <c r="V110" s="33">
        <f t="shared" si="75"/>
        <v>1198.4043095496759</v>
      </c>
      <c r="W110" s="33">
        <f t="shared" si="76"/>
        <v>589.91475000000003</v>
      </c>
      <c r="X110" s="33">
        <f t="shared" si="77"/>
        <v>1650</v>
      </c>
      <c r="Y110" s="41">
        <f t="shared" si="77"/>
        <v>786.553</v>
      </c>
      <c r="Z110" s="47"/>
      <c r="AA110" s="47"/>
    </row>
    <row r="111" spans="1:27" s="118" customFormat="1" ht="9.9499999999999993" customHeight="1" x14ac:dyDescent="0.15">
      <c r="A111" s="142" t="s">
        <v>78</v>
      </c>
      <c r="B111" s="125">
        <v>1.4</v>
      </c>
      <c r="C111" s="140">
        <f t="shared" si="69"/>
        <v>589.66507415454691</v>
      </c>
      <c r="D111" s="41">
        <f t="shared" si="78"/>
        <v>589665.07415454695</v>
      </c>
      <c r="E111" s="33">
        <v>6729</v>
      </c>
      <c r="F111" s="41">
        <f t="shared" si="70"/>
        <v>507.6225</v>
      </c>
      <c r="G111" s="33"/>
      <c r="H111" s="33">
        <f t="shared" si="79"/>
        <v>507622.5</v>
      </c>
      <c r="I111" s="33">
        <v>0</v>
      </c>
      <c r="J111" s="33">
        <v>750</v>
      </c>
      <c r="K111" s="41">
        <f t="shared" si="71"/>
        <v>676.83</v>
      </c>
      <c r="L111" s="33">
        <v>676830</v>
      </c>
      <c r="M111" s="41">
        <f t="shared" si="72"/>
        <v>0</v>
      </c>
      <c r="N111" s="33"/>
      <c r="O111" s="41">
        <f t="shared" si="73"/>
        <v>0</v>
      </c>
      <c r="P111" s="33">
        <f t="shared" si="80"/>
        <v>0</v>
      </c>
      <c r="Q111" s="33">
        <v>0</v>
      </c>
      <c r="R111" s="41">
        <f t="shared" si="74"/>
        <v>0</v>
      </c>
      <c r="S111" s="33"/>
      <c r="T111" s="33"/>
      <c r="U111" s="143">
        <f>U8/B8*B111</f>
        <v>582936.07415454695</v>
      </c>
      <c r="V111" s="33">
        <f t="shared" si="75"/>
        <v>589.66507415454691</v>
      </c>
      <c r="W111" s="33">
        <f t="shared" si="76"/>
        <v>507.6225</v>
      </c>
      <c r="X111" s="33">
        <f t="shared" si="77"/>
        <v>750</v>
      </c>
      <c r="Y111" s="41">
        <f t="shared" si="77"/>
        <v>676.83</v>
      </c>
      <c r="Z111" s="47"/>
      <c r="AA111" s="47"/>
    </row>
    <row r="112" spans="1:27" s="118" customFormat="1" ht="9.9499999999999993" customHeight="1" x14ac:dyDescent="0.15">
      <c r="A112" s="142" t="s">
        <v>79</v>
      </c>
      <c r="B112" s="125">
        <v>3.35</v>
      </c>
      <c r="C112" s="140">
        <f t="shared" si="69"/>
        <v>3002.7947488698087</v>
      </c>
      <c r="D112" s="41">
        <f t="shared" si="78"/>
        <v>3002794.7488698089</v>
      </c>
      <c r="E112" s="33">
        <v>1607912</v>
      </c>
      <c r="F112" s="41">
        <f t="shared" si="70"/>
        <v>2582.2935000000002</v>
      </c>
      <c r="G112" s="33">
        <f>I112/2</f>
        <v>911750</v>
      </c>
      <c r="H112" s="33">
        <f t="shared" si="79"/>
        <v>2582293.5</v>
      </c>
      <c r="I112" s="33">
        <v>1823500</v>
      </c>
      <c r="J112" s="33">
        <v>4200</v>
      </c>
      <c r="K112" s="41">
        <f t="shared" si="71"/>
        <v>3443.058</v>
      </c>
      <c r="L112" s="33">
        <v>3443058</v>
      </c>
      <c r="M112" s="41">
        <f t="shared" si="72"/>
        <v>0</v>
      </c>
      <c r="N112" s="33"/>
      <c r="O112" s="41">
        <f t="shared" si="73"/>
        <v>0</v>
      </c>
      <c r="P112" s="33">
        <f t="shared" si="80"/>
        <v>0</v>
      </c>
      <c r="Q112" s="33">
        <v>0</v>
      </c>
      <c r="R112" s="41">
        <f t="shared" si="74"/>
        <v>0</v>
      </c>
      <c r="S112" s="33"/>
      <c r="T112" s="33"/>
      <c r="U112" s="143">
        <f>U8/B8*B112</f>
        <v>1394882.7488698089</v>
      </c>
      <c r="V112" s="33">
        <f t="shared" si="75"/>
        <v>3002.7947488698087</v>
      </c>
      <c r="W112" s="33">
        <f t="shared" si="76"/>
        <v>2582.2935000000002</v>
      </c>
      <c r="X112" s="33">
        <f t="shared" si="77"/>
        <v>4200</v>
      </c>
      <c r="Y112" s="41">
        <f t="shared" si="77"/>
        <v>3443.058</v>
      </c>
      <c r="Z112" s="47"/>
      <c r="AA112" s="47"/>
    </row>
    <row r="113" spans="1:27" s="118" customFormat="1" ht="9.9499999999999993" customHeight="1" x14ac:dyDescent="0.15">
      <c r="A113" s="142" t="s">
        <v>80</v>
      </c>
      <c r="B113" s="125">
        <v>1.8</v>
      </c>
      <c r="C113" s="140">
        <f t="shared" si="69"/>
        <v>2906.9702381987031</v>
      </c>
      <c r="D113" s="41">
        <f t="shared" si="78"/>
        <v>2906970.2381987032</v>
      </c>
      <c r="E113" s="33">
        <v>2157481</v>
      </c>
      <c r="F113" s="41">
        <f t="shared" si="70"/>
        <v>2683.6574999999998</v>
      </c>
      <c r="G113" s="33">
        <f>I113/2</f>
        <v>1354000</v>
      </c>
      <c r="H113" s="33">
        <f t="shared" si="79"/>
        <v>2683657.5</v>
      </c>
      <c r="I113" s="33">
        <v>2708000</v>
      </c>
      <c r="J113" s="33">
        <v>4000</v>
      </c>
      <c r="K113" s="41">
        <f t="shared" si="71"/>
        <v>3578.21</v>
      </c>
      <c r="L113" s="33">
        <v>3578210</v>
      </c>
      <c r="M113" s="41">
        <f t="shared" si="72"/>
        <v>-476.20021000000003</v>
      </c>
      <c r="N113" s="33">
        <f>33181+18000+379772+45247.21</f>
        <v>476200.21</v>
      </c>
      <c r="O113" s="41">
        <f t="shared" si="73"/>
        <v>0</v>
      </c>
      <c r="P113" s="33">
        <f t="shared" si="80"/>
        <v>0</v>
      </c>
      <c r="Q113" s="33">
        <v>-476</v>
      </c>
      <c r="R113" s="41">
        <f t="shared" si="74"/>
        <v>0</v>
      </c>
      <c r="S113" s="33"/>
      <c r="T113" s="33">
        <f>18000+379772+45247.21+33181</f>
        <v>476200.21</v>
      </c>
      <c r="U113" s="143">
        <f>U8/B8*B113</f>
        <v>749489.23819870327</v>
      </c>
      <c r="V113" s="33">
        <f t="shared" si="75"/>
        <v>2430.7700281987031</v>
      </c>
      <c r="W113" s="33">
        <f t="shared" si="76"/>
        <v>2683.6574999999998</v>
      </c>
      <c r="X113" s="33">
        <f t="shared" si="77"/>
        <v>3524</v>
      </c>
      <c r="Y113" s="41">
        <f t="shared" si="77"/>
        <v>3578.21</v>
      </c>
      <c r="Z113" s="47"/>
      <c r="AA113" s="47"/>
    </row>
    <row r="114" spans="1:27" s="118" customFormat="1" ht="9.9499999999999993" customHeight="1" x14ac:dyDescent="0.15">
      <c r="A114" s="142" t="s">
        <v>81</v>
      </c>
      <c r="B114" s="125">
        <v>0.95</v>
      </c>
      <c r="C114" s="140">
        <f t="shared" si="69"/>
        <v>2254.4727646048714</v>
      </c>
      <c r="D114" s="41">
        <f t="shared" si="78"/>
        <v>2254472.7646048712</v>
      </c>
      <c r="E114" s="33">
        <v>1858909</v>
      </c>
      <c r="F114" s="41">
        <f t="shared" si="70"/>
        <v>1816.7085</v>
      </c>
      <c r="G114" s="33">
        <f>I114/2</f>
        <v>981500</v>
      </c>
      <c r="H114" s="33">
        <f t="shared" si="79"/>
        <v>1816708.5</v>
      </c>
      <c r="I114" s="33">
        <v>1963000</v>
      </c>
      <c r="J114" s="33">
        <v>3000</v>
      </c>
      <c r="K114" s="41">
        <f t="shared" si="71"/>
        <v>2422.2779999999998</v>
      </c>
      <c r="L114" s="33">
        <v>2422278</v>
      </c>
      <c r="M114" s="41">
        <f t="shared" si="72"/>
        <v>0</v>
      </c>
      <c r="N114" s="33"/>
      <c r="O114" s="41">
        <f t="shared" si="73"/>
        <v>0</v>
      </c>
      <c r="P114" s="33">
        <f t="shared" si="80"/>
        <v>0</v>
      </c>
      <c r="Q114" s="33">
        <v>0</v>
      </c>
      <c r="R114" s="41">
        <f t="shared" si="74"/>
        <v>0</v>
      </c>
      <c r="S114" s="33"/>
      <c r="T114" s="33"/>
      <c r="U114" s="143">
        <f>U8/B8*B114</f>
        <v>395563.76460487116</v>
      </c>
      <c r="V114" s="33">
        <f t="shared" si="75"/>
        <v>2254.4727646048714</v>
      </c>
      <c r="W114" s="33">
        <f t="shared" si="76"/>
        <v>1816.7085</v>
      </c>
      <c r="X114" s="33">
        <f t="shared" si="77"/>
        <v>3000</v>
      </c>
      <c r="Y114" s="41">
        <f t="shared" si="77"/>
        <v>2422.2779999999998</v>
      </c>
      <c r="Z114" s="47"/>
      <c r="AA114" s="47"/>
    </row>
    <row r="115" spans="1:27" s="118" customFormat="1" ht="9" customHeight="1" x14ac:dyDescent="0.15">
      <c r="A115" s="147"/>
      <c r="B115" s="130"/>
      <c r="C115" s="140"/>
      <c r="D115" s="41"/>
      <c r="E115" s="33"/>
      <c r="F115" s="41">
        <f t="shared" si="70"/>
        <v>0</v>
      </c>
      <c r="G115" s="33"/>
      <c r="H115" s="33"/>
      <c r="I115" s="33"/>
      <c r="J115" s="33"/>
      <c r="K115" s="41"/>
      <c r="L115" s="33"/>
      <c r="M115" s="41"/>
      <c r="N115" s="33"/>
      <c r="O115" s="41"/>
      <c r="P115" s="33"/>
      <c r="Q115" s="33"/>
      <c r="R115" s="41"/>
      <c r="S115" s="33"/>
      <c r="T115" s="33"/>
      <c r="U115" s="143"/>
      <c r="V115" s="33"/>
      <c r="W115" s="33"/>
      <c r="X115" s="36"/>
      <c r="Y115" s="41"/>
      <c r="Z115" s="47"/>
      <c r="AA115" s="47"/>
    </row>
    <row r="116" spans="1:27" s="179" customFormat="1" x14ac:dyDescent="0.15">
      <c r="A116" s="168" t="s">
        <v>87</v>
      </c>
      <c r="B116" s="180">
        <v>0</v>
      </c>
      <c r="C116" s="170">
        <f>D116/1000</f>
        <v>0</v>
      </c>
      <c r="D116" s="171">
        <f>D117</f>
        <v>0</v>
      </c>
      <c r="E116" s="171"/>
      <c r="F116" s="171">
        <f t="shared" si="70"/>
        <v>0</v>
      </c>
      <c r="G116" s="171">
        <f>G117</f>
        <v>0</v>
      </c>
      <c r="H116" s="171">
        <f>H117</f>
        <v>0</v>
      </c>
      <c r="I116" s="171">
        <f>I117</f>
        <v>-2600000</v>
      </c>
      <c r="J116" s="171">
        <v>0</v>
      </c>
      <c r="K116" s="171">
        <f>L116/1000</f>
        <v>0</v>
      </c>
      <c r="L116" s="176">
        <f>L117</f>
        <v>0</v>
      </c>
      <c r="M116" s="171">
        <f>N116/1000*-1</f>
        <v>-3874.373</v>
      </c>
      <c r="N116" s="171">
        <f>N117</f>
        <v>3874373</v>
      </c>
      <c r="O116" s="171">
        <f>P116/1000*-1</f>
        <v>-1950</v>
      </c>
      <c r="P116" s="171">
        <f>P117</f>
        <v>1950000</v>
      </c>
      <c r="Q116" s="171">
        <f>Q117</f>
        <v>-4500</v>
      </c>
      <c r="R116" s="171">
        <f>S116/1000*-1</f>
        <v>-2600</v>
      </c>
      <c r="S116" s="176">
        <f>S117</f>
        <v>2600000</v>
      </c>
      <c r="T116" s="176">
        <f>T117</f>
        <v>3874373</v>
      </c>
      <c r="U116" s="185">
        <f>U117</f>
        <v>0</v>
      </c>
      <c r="V116" s="173">
        <f>C116+M116</f>
        <v>-3874.373</v>
      </c>
      <c r="W116" s="173">
        <f>F116+O116</f>
        <v>-1950</v>
      </c>
      <c r="X116" s="173">
        <f>J116+Q116</f>
        <v>-4500</v>
      </c>
      <c r="Y116" s="171">
        <f>K116+R116</f>
        <v>-2600</v>
      </c>
      <c r="Z116" s="174"/>
      <c r="AA116" s="174"/>
    </row>
    <row r="117" spans="1:27" s="117" customFormat="1" ht="9.75" customHeight="1" x14ac:dyDescent="0.15">
      <c r="A117" s="142" t="s">
        <v>11</v>
      </c>
      <c r="B117" s="125">
        <v>0</v>
      </c>
      <c r="C117" s="140">
        <f>D117/1000</f>
        <v>0</v>
      </c>
      <c r="D117" s="41"/>
      <c r="E117" s="33"/>
      <c r="F117" s="41">
        <f t="shared" si="70"/>
        <v>0</v>
      </c>
      <c r="G117" s="33"/>
      <c r="H117" s="33">
        <f>L117/2</f>
        <v>0</v>
      </c>
      <c r="I117" s="33">
        <v>-2600000</v>
      </c>
      <c r="J117" s="33">
        <v>0</v>
      </c>
      <c r="K117" s="41">
        <f>L117/1000</f>
        <v>0</v>
      </c>
      <c r="L117" s="33"/>
      <c r="M117" s="41">
        <f>N117/1000*-1</f>
        <v>-3874.373</v>
      </c>
      <c r="N117" s="33">
        <f>1250+3873123</f>
        <v>3874373</v>
      </c>
      <c r="O117" s="41">
        <f>P117/1000*-1</f>
        <v>-1950</v>
      </c>
      <c r="P117" s="33">
        <f>S117*0.75</f>
        <v>1950000</v>
      </c>
      <c r="Q117" s="33">
        <v>-4500</v>
      </c>
      <c r="R117" s="41">
        <f>S117/1000*-1</f>
        <v>-2600</v>
      </c>
      <c r="S117" s="33">
        <v>2600000</v>
      </c>
      <c r="T117" s="33">
        <f>3873123+1250</f>
        <v>3874373</v>
      </c>
      <c r="U117" s="143"/>
      <c r="V117" s="33">
        <f>C117+M117</f>
        <v>-3874.373</v>
      </c>
      <c r="W117" s="33">
        <f>F117+O117</f>
        <v>-1950</v>
      </c>
      <c r="X117" s="33">
        <f>J117+Q117</f>
        <v>-4500</v>
      </c>
      <c r="Y117" s="41">
        <f>K117+R117</f>
        <v>-2600</v>
      </c>
      <c r="Z117" s="47"/>
      <c r="AA117" s="47"/>
    </row>
    <row r="118" spans="1:27" s="117" customFormat="1" ht="9" customHeight="1" x14ac:dyDescent="0.15">
      <c r="A118" s="142"/>
      <c r="B118" s="125"/>
      <c r="C118" s="140"/>
      <c r="D118" s="41"/>
      <c r="E118" s="33"/>
      <c r="F118" s="41">
        <f t="shared" si="70"/>
        <v>0</v>
      </c>
      <c r="G118" s="33"/>
      <c r="H118" s="33"/>
      <c r="I118" s="33"/>
      <c r="J118" s="33"/>
      <c r="K118" s="41"/>
      <c r="L118" s="33"/>
      <c r="M118" s="41"/>
      <c r="N118" s="33"/>
      <c r="O118" s="41"/>
      <c r="P118" s="33"/>
      <c r="Q118" s="33"/>
      <c r="R118" s="41"/>
      <c r="S118" s="33"/>
      <c r="T118" s="33"/>
      <c r="U118" s="143"/>
      <c r="V118" s="33"/>
      <c r="W118" s="33"/>
      <c r="X118" s="33"/>
      <c r="Y118" s="41"/>
      <c r="Z118" s="47"/>
      <c r="AA118" s="47"/>
    </row>
    <row r="119" spans="1:27" s="189" customFormat="1" ht="9.75" customHeight="1" x14ac:dyDescent="0.15">
      <c r="A119" s="186" t="s">
        <v>119</v>
      </c>
      <c r="B119" s="187">
        <v>0</v>
      </c>
      <c r="C119" s="170">
        <v>3</v>
      </c>
      <c r="D119" s="171"/>
      <c r="E119" s="173"/>
      <c r="F119" s="171">
        <f t="shared" si="70"/>
        <v>1950</v>
      </c>
      <c r="G119" s="173"/>
      <c r="H119" s="173">
        <f>L119*0.75</f>
        <v>1950000</v>
      </c>
      <c r="I119" s="173"/>
      <c r="J119" s="173">
        <v>500</v>
      </c>
      <c r="K119" s="171">
        <v>2600</v>
      </c>
      <c r="L119" s="173">
        <v>2600000</v>
      </c>
      <c r="M119" s="171">
        <v>0</v>
      </c>
      <c r="N119" s="173"/>
      <c r="O119" s="171">
        <v>0</v>
      </c>
      <c r="P119" s="173"/>
      <c r="Q119" s="173">
        <v>0</v>
      </c>
      <c r="R119" s="171">
        <v>0</v>
      </c>
      <c r="S119" s="173"/>
      <c r="T119" s="173"/>
      <c r="U119" s="188"/>
      <c r="V119" s="173">
        <v>3</v>
      </c>
      <c r="W119" s="173">
        <v>0</v>
      </c>
      <c r="X119" s="173">
        <f>J119+Q119</f>
        <v>500</v>
      </c>
      <c r="Y119" s="171">
        <f>K119+R119</f>
        <v>2600</v>
      </c>
      <c r="Z119" s="174"/>
      <c r="AA119" s="174"/>
    </row>
    <row r="120" spans="1:27" s="117" customFormat="1" x14ac:dyDescent="0.15">
      <c r="A120" s="142" t="s">
        <v>82</v>
      </c>
      <c r="B120" s="125">
        <v>0</v>
      </c>
      <c r="C120" s="140">
        <f>D120/1000</f>
        <v>2.9470000000000001</v>
      </c>
      <c r="D120" s="41">
        <f>E120+U120</f>
        <v>2947</v>
      </c>
      <c r="E120" s="33">
        <v>2947</v>
      </c>
      <c r="F120" s="41">
        <f t="shared" si="70"/>
        <v>0</v>
      </c>
      <c r="G120" s="33"/>
      <c r="H120" s="33">
        <f>L120/2</f>
        <v>0</v>
      </c>
      <c r="I120" s="33"/>
      <c r="J120" s="33">
        <v>3</v>
      </c>
      <c r="K120" s="41">
        <f>L120/1000</f>
        <v>0</v>
      </c>
      <c r="L120" s="33"/>
      <c r="M120" s="41">
        <f>N120/1000*-1</f>
        <v>0</v>
      </c>
      <c r="N120" s="33"/>
      <c r="O120" s="41">
        <f>P120/1000*-1</f>
        <v>0</v>
      </c>
      <c r="P120" s="33">
        <f>S120/2</f>
        <v>0</v>
      </c>
      <c r="Q120" s="33">
        <v>0</v>
      </c>
      <c r="R120" s="41">
        <f>S120/1000*-1</f>
        <v>0</v>
      </c>
      <c r="S120" s="33"/>
      <c r="T120" s="33"/>
      <c r="U120" s="143"/>
      <c r="V120" s="33">
        <f>C120+M120</f>
        <v>2.9470000000000001</v>
      </c>
      <c r="W120" s="33">
        <f>F120+O120</f>
        <v>0</v>
      </c>
      <c r="X120" s="33">
        <f>J120+Q120</f>
        <v>3</v>
      </c>
      <c r="Y120" s="41">
        <v>0</v>
      </c>
      <c r="Z120" s="47"/>
      <c r="AA120" s="47"/>
    </row>
    <row r="121" spans="1:27" s="117" customFormat="1" x14ac:dyDescent="0.15">
      <c r="A121" s="156" t="s">
        <v>95</v>
      </c>
      <c r="B121" s="126">
        <f>B10+B11+B12+B18+B21+B28+B31+B36+B42+B46+B49+B53+B67+B73+B84+B96+B97+B98+B99+B100+B103+B104+B105+B109+B110+B111+B112+B113+B116+B114+B106</f>
        <v>57.070000000000007</v>
      </c>
      <c r="C121" s="140">
        <f>D121/1000</f>
        <v>53590.987139999997</v>
      </c>
      <c r="D121" s="158">
        <f>D116+D108+D102+D95+D72+D20+D9+D120</f>
        <v>53590987.140000001</v>
      </c>
      <c r="E121" s="158">
        <f>E116+E108+E102+E95+E72+E20+E9+E120</f>
        <v>29828014.459999997</v>
      </c>
      <c r="F121" s="41">
        <f t="shared" si="70"/>
        <v>59063.994749999998</v>
      </c>
      <c r="G121" s="158">
        <f>G116+G108+G102+G95+G72+G20+G9</f>
        <v>21834426.5</v>
      </c>
      <c r="H121" s="158">
        <f>H116+H108+H102+H95+H72+H20+H9+H119</f>
        <v>59063994.75</v>
      </c>
      <c r="I121" s="158">
        <f>I116+I108+I102+I95+I72+I20+I9</f>
        <v>41910169</v>
      </c>
      <c r="J121" s="159">
        <f>J108+J102+J72+J20+J9+J119+J95</f>
        <v>79124</v>
      </c>
      <c r="K121" s="41">
        <f>L121/1000</f>
        <v>78751.993000000002</v>
      </c>
      <c r="L121" s="41">
        <f>L116+L108+L102+L95+L72+L20+L9+L119</f>
        <v>78751993</v>
      </c>
      <c r="M121" s="41">
        <f>N121/1000*-1</f>
        <v>-59700.460579999999</v>
      </c>
      <c r="N121" s="158">
        <f>N116+N108+N102+N95+N72+N20</f>
        <v>59700460.579999998</v>
      </c>
      <c r="O121" s="41">
        <f>P121/1000*-1</f>
        <v>-57115.133999999998</v>
      </c>
      <c r="P121" s="160">
        <f>P116+P108+P102+P95+P72+P20+P9</f>
        <v>57115134</v>
      </c>
      <c r="Q121" s="159">
        <f>Q116+Q108+Q102+Q95+Q72+Q20+Q9</f>
        <v>-79038</v>
      </c>
      <c r="R121" s="41">
        <f>S121/1000*-1</f>
        <v>-76153.512000000002</v>
      </c>
      <c r="S121" s="160">
        <f>S116+S108+S102+S95+S72+S20+S9</f>
        <v>76153512</v>
      </c>
      <c r="T121" s="161">
        <f>T116+T108+T102+T95+T72+T20</f>
        <v>57729480.579999998</v>
      </c>
      <c r="U121" s="162">
        <f>U10+U11+U12+U18+U21+U28+U31+U36+U42+U46+U49+U53+U67+U73+U84+U96+U97+U98+U99+U100+U103+U104+U105+U109+U110+U111+U112+U113+U116+U114+U106</f>
        <v>23762972.679999996</v>
      </c>
      <c r="V121" s="33">
        <f>C121+M121</f>
        <v>-6109.4734400000016</v>
      </c>
      <c r="W121" s="33">
        <f>F121+O121+1</f>
        <v>1949.8607499999998</v>
      </c>
      <c r="X121" s="33">
        <f>J121+Q121</f>
        <v>86</v>
      </c>
      <c r="Y121" s="41">
        <f>K121+R121</f>
        <v>2598.4809999999998</v>
      </c>
      <c r="Z121" s="47"/>
      <c r="AA121" s="47"/>
    </row>
    <row r="122" spans="1:27" s="42" customFormat="1" x14ac:dyDescent="0.15">
      <c r="A122" s="163"/>
      <c r="B122" s="120"/>
      <c r="C122" s="121"/>
      <c r="D122" s="122"/>
      <c r="E122" s="47"/>
      <c r="F122" s="47"/>
      <c r="G122" s="47"/>
      <c r="H122" s="47"/>
      <c r="I122" s="47"/>
      <c r="J122" s="47"/>
      <c r="K122" s="47"/>
      <c r="L122" s="47"/>
      <c r="M122" s="45"/>
      <c r="N122" s="47"/>
      <c r="O122" s="47"/>
      <c r="P122" s="47"/>
      <c r="Q122" s="47"/>
      <c r="R122" s="47"/>
      <c r="S122" s="47"/>
      <c r="T122" s="47"/>
      <c r="U122" s="123"/>
      <c r="V122" s="47"/>
      <c r="W122" s="164"/>
      <c r="X122" s="37"/>
    </row>
    <row r="123" spans="1:27" s="42" customFormat="1" x14ac:dyDescent="0.15">
      <c r="A123" s="39"/>
      <c r="B123" s="120"/>
      <c r="C123" s="121"/>
      <c r="D123" s="122"/>
      <c r="E123" s="165" t="s">
        <v>128</v>
      </c>
      <c r="F123" s="47"/>
      <c r="G123" s="47"/>
      <c r="H123" s="47"/>
      <c r="I123" s="47"/>
      <c r="J123" s="47"/>
      <c r="K123" s="47"/>
      <c r="L123" s="47"/>
      <c r="M123" s="45"/>
      <c r="N123" s="47" t="s">
        <v>131</v>
      </c>
      <c r="O123" s="47"/>
      <c r="P123" s="47"/>
      <c r="Q123" s="47"/>
      <c r="R123" s="47"/>
      <c r="S123" s="47"/>
      <c r="T123" s="47"/>
      <c r="U123" s="123"/>
      <c r="V123" s="47"/>
      <c r="W123" s="164"/>
      <c r="X123" s="37"/>
    </row>
    <row r="124" spans="1:27" x14ac:dyDescent="0.15">
      <c r="B124" s="166"/>
      <c r="C124" s="167"/>
      <c r="D124" s="167">
        <f t="shared" ref="D124:L124" si="81">N122-D122</f>
        <v>0</v>
      </c>
      <c r="E124" s="167">
        <f t="shared" si="81"/>
        <v>0</v>
      </c>
      <c r="F124" s="167">
        <f t="shared" si="81"/>
        <v>0</v>
      </c>
      <c r="G124" s="167">
        <f t="shared" si="81"/>
        <v>0</v>
      </c>
      <c r="H124" s="167">
        <f t="shared" si="81"/>
        <v>0</v>
      </c>
      <c r="I124" s="167">
        <f t="shared" si="81"/>
        <v>0</v>
      </c>
      <c r="J124" s="167">
        <f t="shared" si="81"/>
        <v>0</v>
      </c>
      <c r="K124" s="167">
        <f t="shared" si="81"/>
        <v>0</v>
      </c>
      <c r="L124" s="167">
        <f t="shared" si="81"/>
        <v>0</v>
      </c>
      <c r="M124" s="167"/>
    </row>
    <row r="125" spans="1:27" s="42" customFormat="1" x14ac:dyDescent="0.15">
      <c r="A125" s="39"/>
      <c r="B125" s="166"/>
      <c r="C125" s="167"/>
      <c r="D125" s="122"/>
      <c r="E125" s="47"/>
      <c r="F125" s="47"/>
      <c r="G125" s="47"/>
      <c r="H125" s="47"/>
      <c r="I125" s="47"/>
      <c r="J125" s="47"/>
      <c r="K125" s="47"/>
      <c r="L125" s="47"/>
      <c r="M125" s="45"/>
      <c r="N125" s="47"/>
      <c r="O125" s="47"/>
      <c r="P125" s="47"/>
      <c r="Q125" s="47"/>
      <c r="R125" s="47"/>
      <c r="S125" s="47"/>
      <c r="T125" s="47"/>
      <c r="U125" s="123"/>
      <c r="V125" s="47"/>
      <c r="W125" s="164"/>
      <c r="X125" s="37"/>
    </row>
    <row r="126" spans="1:27" x14ac:dyDescent="0.15">
      <c r="M126" s="46"/>
    </row>
  </sheetData>
  <mergeCells count="4">
    <mergeCell ref="C6:K6"/>
    <mergeCell ref="M6:R6"/>
    <mergeCell ref="A4:W4"/>
    <mergeCell ref="V6:Y6"/>
  </mergeCells>
  <phoneticPr fontId="2" type="noConversion"/>
  <pageMargins left="0.94488188976377963" right="0.55118110236220474" top="0.27559055118110237" bottom="0.19685039370078741" header="0.31496062992125984" footer="0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5"/>
  <sheetViews>
    <sheetView workbookViewId="0"/>
  </sheetViews>
  <sheetFormatPr defaultRowHeight="10.5" x14ac:dyDescent="0.15"/>
  <cols>
    <col min="1" max="1" width="26.5703125" style="39" customWidth="1"/>
    <col min="2" max="2" width="6.85546875" style="213" customWidth="1"/>
    <col min="3" max="3" width="10.42578125" style="121" customWidth="1"/>
    <col min="4" max="4" width="10.85546875" style="122" hidden="1" customWidth="1"/>
    <col min="5" max="5" width="15.140625" style="197" hidden="1" customWidth="1"/>
    <col min="6" max="6" width="7.7109375" style="192" hidden="1" customWidth="1"/>
    <col min="7" max="7" width="8.7109375" style="192" hidden="1" customWidth="1"/>
    <col min="8" max="8" width="14" style="47" hidden="1" customWidth="1"/>
    <col min="9" max="9" width="12.140625" style="197" hidden="1" customWidth="1"/>
    <col min="10" max="10" width="6.42578125" style="228" hidden="1" customWidth="1"/>
    <col min="11" max="11" width="7" style="47" customWidth="1"/>
    <col min="12" max="12" width="16" style="197" hidden="1" customWidth="1"/>
    <col min="13" max="13" width="7.7109375" style="192" customWidth="1"/>
    <col min="14" max="14" width="10.140625" style="47" hidden="1" customWidth="1"/>
    <col min="15" max="15" width="7.7109375" style="47" hidden="1" customWidth="1"/>
    <col min="16" max="16" width="11.28515625" style="197" hidden="1" customWidth="1"/>
    <col min="17" max="17" width="7.7109375" style="228" hidden="1" customWidth="1"/>
    <col min="18" max="18" width="7.140625" style="47" customWidth="1"/>
    <col min="19" max="19" width="14.140625" style="197" hidden="1" customWidth="1"/>
    <col min="20" max="20" width="20.7109375" style="47" hidden="1" customWidth="1"/>
    <col min="21" max="21" width="16.7109375" style="206" hidden="1" customWidth="1"/>
    <col min="22" max="22" width="9" style="47" customWidth="1"/>
    <col min="23" max="23" width="8.7109375" style="47" hidden="1" customWidth="1"/>
    <col min="24" max="24" width="7.7109375" style="235" hidden="1" customWidth="1"/>
    <col min="25" max="25" width="7.7109375" style="39" customWidth="1"/>
    <col min="26" max="26" width="11.85546875" style="39" bestFit="1" customWidth="1"/>
    <col min="27" max="16384" width="9.140625" style="39"/>
  </cols>
  <sheetData>
    <row r="1" spans="1:27" x14ac:dyDescent="0.15">
      <c r="J1" s="192"/>
      <c r="Q1" s="192"/>
      <c r="X1" s="238"/>
    </row>
    <row r="2" spans="1:27" x14ac:dyDescent="0.15">
      <c r="D2" s="122">
        <f>D145</f>
        <v>76597346.510000005</v>
      </c>
      <c r="J2" s="192"/>
      <c r="L2" s="197">
        <f>L145</f>
        <v>73510389.25</v>
      </c>
      <c r="Q2" s="192"/>
      <c r="X2" s="238"/>
    </row>
    <row r="3" spans="1:27" x14ac:dyDescent="0.15">
      <c r="J3" s="192"/>
      <c r="N3" s="38"/>
      <c r="Q3" s="192"/>
      <c r="U3" s="206">
        <f>U10+U11+U29+U30+U31+U32+U34+U33+U38+U39+U40+U41+U42++U45+U46+U48+U49+U50+U51+U53+U54+U55+U56+U57+U59+U60+U65+U67+U68+U71+U72+U76+U75+U77+U78+U82+U84+U86+U87+U90+U89+U91+U98+U96+U99+U100+U101+U102+U103+U106+U108+U109+U110+U112+U111+U113+U114+U115+U116+U119+U120+U121+U122+U125+U124+U127+U128+U129+U130+U133+U134+U135+U136+U137+U148</f>
        <v>29132363.468076501</v>
      </c>
      <c r="X3" s="238"/>
    </row>
    <row r="4" spans="1:27" x14ac:dyDescent="0.15">
      <c r="A4" s="441" t="s">
        <v>245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239"/>
    </row>
    <row r="5" spans="1:27" x14ac:dyDescent="0.15">
      <c r="J5" s="192"/>
      <c r="Q5" s="192"/>
      <c r="X5" s="238"/>
    </row>
    <row r="6" spans="1:27" x14ac:dyDescent="0.15">
      <c r="A6" s="124" t="s">
        <v>114</v>
      </c>
      <c r="B6" s="212"/>
      <c r="C6" s="431" t="s">
        <v>111</v>
      </c>
      <c r="D6" s="432"/>
      <c r="E6" s="432"/>
      <c r="F6" s="432"/>
      <c r="G6" s="432"/>
      <c r="H6" s="432"/>
      <c r="I6" s="432"/>
      <c r="J6" s="432"/>
      <c r="K6" s="433"/>
      <c r="L6" s="198" t="s">
        <v>42</v>
      </c>
      <c r="M6" s="434" t="s">
        <v>112</v>
      </c>
      <c r="N6" s="435"/>
      <c r="O6" s="435"/>
      <c r="P6" s="435"/>
      <c r="Q6" s="435"/>
      <c r="R6" s="436"/>
      <c r="S6" s="219" t="s">
        <v>43</v>
      </c>
      <c r="T6" s="127" t="s">
        <v>241</v>
      </c>
      <c r="U6" s="207" t="s">
        <v>39</v>
      </c>
      <c r="V6" s="438" t="s">
        <v>113</v>
      </c>
      <c r="W6" s="439"/>
      <c r="X6" s="439"/>
      <c r="Y6" s="440"/>
    </row>
    <row r="7" spans="1:27" x14ac:dyDescent="0.15">
      <c r="A7" s="129" t="s">
        <v>96</v>
      </c>
      <c r="B7" s="214" t="s">
        <v>36</v>
      </c>
      <c r="C7" s="130" t="s">
        <v>244</v>
      </c>
      <c r="D7" s="131"/>
      <c r="E7" s="199" t="s">
        <v>121</v>
      </c>
      <c r="F7" s="193" t="s">
        <v>242</v>
      </c>
      <c r="G7" s="224"/>
      <c r="H7" s="44"/>
      <c r="I7" s="199" t="s">
        <v>123</v>
      </c>
      <c r="J7" s="229" t="s">
        <v>115</v>
      </c>
      <c r="K7" s="40" t="s">
        <v>140</v>
      </c>
      <c r="L7" s="199" t="s">
        <v>141</v>
      </c>
      <c r="M7" s="224" t="s">
        <v>243</v>
      </c>
      <c r="N7" s="44"/>
      <c r="O7" s="44" t="s">
        <v>237</v>
      </c>
      <c r="P7" s="199" t="s">
        <v>89</v>
      </c>
      <c r="Q7" s="229" t="s">
        <v>115</v>
      </c>
      <c r="R7" s="40" t="s">
        <v>140</v>
      </c>
      <c r="S7" s="199"/>
      <c r="T7" s="44"/>
      <c r="U7" s="208"/>
      <c r="V7" s="40" t="s">
        <v>243</v>
      </c>
      <c r="W7" s="40" t="s">
        <v>238</v>
      </c>
      <c r="X7" s="236" t="s">
        <v>115</v>
      </c>
      <c r="Y7" s="40" t="s">
        <v>140</v>
      </c>
    </row>
    <row r="8" spans="1:27" ht="9" customHeight="1" x14ac:dyDescent="0.15">
      <c r="A8" s="133"/>
      <c r="B8" s="215">
        <f>B145</f>
        <v>62.489999999999995</v>
      </c>
      <c r="C8" s="135"/>
      <c r="D8" s="136" t="s">
        <v>41</v>
      </c>
      <c r="E8" s="203" t="s">
        <v>40</v>
      </c>
      <c r="F8" s="222"/>
      <c r="G8" s="194"/>
      <c r="H8" s="36"/>
      <c r="I8" s="200"/>
      <c r="J8" s="230"/>
      <c r="K8" s="36"/>
      <c r="L8" s="200"/>
      <c r="M8" s="194"/>
      <c r="N8" s="190"/>
      <c r="O8" s="36"/>
      <c r="P8" s="200"/>
      <c r="Q8" s="230"/>
      <c r="R8" s="36"/>
      <c r="S8" s="220"/>
      <c r="T8" s="48"/>
      <c r="U8" s="209">
        <f>33761014.57-351556.08</f>
        <v>33409458.490000002</v>
      </c>
      <c r="V8" s="48"/>
      <c r="W8" s="48"/>
      <c r="X8" s="230"/>
      <c r="Y8" s="36"/>
    </row>
    <row r="9" spans="1:27" s="175" customFormat="1" ht="10.5" customHeight="1" x14ac:dyDescent="0.15">
      <c r="A9" s="168" t="s">
        <v>49</v>
      </c>
      <c r="B9" s="216">
        <f>B10+B11+B26</f>
        <v>12.399999999999999</v>
      </c>
      <c r="C9" s="170">
        <f>D9/1000</f>
        <v>7787.4885639814383</v>
      </c>
      <c r="D9" s="171">
        <f>D10+D11+D26</f>
        <v>7787488.5639814381</v>
      </c>
      <c r="E9" s="191">
        <f>E10+E11+E26</f>
        <v>1157991.2799999998</v>
      </c>
      <c r="F9" s="191">
        <f>G9/1000</f>
        <v>7363.5889999999999</v>
      </c>
      <c r="G9" s="191">
        <f>L9</f>
        <v>7363589</v>
      </c>
      <c r="H9" s="171">
        <f>H10+H11+H26</f>
        <v>0</v>
      </c>
      <c r="I9" s="191">
        <f>I10+I11+I26</f>
        <v>794500</v>
      </c>
      <c r="J9" s="191">
        <f>J10+J11+J26</f>
        <v>0</v>
      </c>
      <c r="K9" s="171">
        <f>L9/1000</f>
        <v>7363.5889999999999</v>
      </c>
      <c r="L9" s="191">
        <f>L10+L11+L26</f>
        <v>7363589</v>
      </c>
      <c r="M9" s="191">
        <f>T9/1000*-1</f>
        <v>0</v>
      </c>
      <c r="N9" s="171">
        <f>N10+N11+N26+N34</f>
        <v>0</v>
      </c>
      <c r="O9" s="171">
        <f>P9/1000*-1</f>
        <v>-247.5</v>
      </c>
      <c r="P9" s="191">
        <f>S9</f>
        <v>247500</v>
      </c>
      <c r="Q9" s="191">
        <f>Q10+Q11+Q26</f>
        <v>0</v>
      </c>
      <c r="R9" s="171">
        <f>S9/1000*-1</f>
        <v>-247.5</v>
      </c>
      <c r="S9" s="191">
        <f>S10+S11+S26</f>
        <v>247500</v>
      </c>
      <c r="T9" s="171">
        <f>T10+T11+T26+T34</f>
        <v>0</v>
      </c>
      <c r="U9" s="210">
        <f>$U$8/$B$8*B9</f>
        <v>6629497.2839814378</v>
      </c>
      <c r="V9" s="173">
        <f>C9+M9</f>
        <v>7787.4885639814383</v>
      </c>
      <c r="W9" s="173">
        <f>F9+O9</f>
        <v>7116.0889999999999</v>
      </c>
      <c r="X9" s="198">
        <f t="shared" ref="X9:Y24" si="0">J9+Q9</f>
        <v>0</v>
      </c>
      <c r="Y9" s="171">
        <f t="shared" si="0"/>
        <v>7116.0889999999999</v>
      </c>
      <c r="Z9" s="174"/>
      <c r="AA9" s="174"/>
    </row>
    <row r="10" spans="1:27" ht="9.9499999999999993" customHeight="1" x14ac:dyDescent="0.15">
      <c r="A10" s="142" t="s">
        <v>136</v>
      </c>
      <c r="B10" s="212">
        <v>5.25</v>
      </c>
      <c r="C10" s="140">
        <f>D10/1000</f>
        <v>3070.1340281373023</v>
      </c>
      <c r="D10" s="41">
        <f>E10+U10</f>
        <v>3070134.0281373025</v>
      </c>
      <c r="E10" s="198">
        <v>263290.42</v>
      </c>
      <c r="F10" s="195">
        <f t="shared" ref="F10:F73" si="1">G10/1000</f>
        <v>2941.2669999999998</v>
      </c>
      <c r="G10" s="191">
        <f t="shared" ref="G10:G73" si="2">L10</f>
        <v>2941267</v>
      </c>
      <c r="H10" s="33"/>
      <c r="I10" s="198">
        <v>160000</v>
      </c>
      <c r="J10" s="231"/>
      <c r="K10" s="41">
        <f>L10/1000</f>
        <v>2941.2669999999998</v>
      </c>
      <c r="L10" s="198">
        <v>2941267</v>
      </c>
      <c r="M10" s="195">
        <f t="shared" ref="M10:M73" si="3">T10/1000*-1</f>
        <v>0</v>
      </c>
      <c r="N10" s="33"/>
      <c r="O10" s="41">
        <f>P10/1000*-1</f>
        <v>0</v>
      </c>
      <c r="P10" s="191">
        <f t="shared" ref="P10:P73" si="4">S10</f>
        <v>0</v>
      </c>
      <c r="Q10" s="231">
        <v>0</v>
      </c>
      <c r="R10" s="41">
        <f>S10/1000*-1</f>
        <v>0</v>
      </c>
      <c r="S10" s="198"/>
      <c r="T10" s="33"/>
      <c r="U10" s="210">
        <f t="shared" ref="U10:U73" si="5">$U$8/$B$8*B10</f>
        <v>2806843.6081373026</v>
      </c>
      <c r="V10" s="33">
        <f>C10+M10</f>
        <v>3070.1340281373023</v>
      </c>
      <c r="W10" s="33">
        <f>F10+O10</f>
        <v>2941.2669999999998</v>
      </c>
      <c r="X10" s="231">
        <f t="shared" si="0"/>
        <v>0</v>
      </c>
      <c r="Y10" s="41">
        <f t="shared" si="0"/>
        <v>2941.2669999999998</v>
      </c>
      <c r="Z10" s="47"/>
      <c r="AA10" s="47"/>
    </row>
    <row r="11" spans="1:27" ht="9.9499999999999993" customHeight="1" x14ac:dyDescent="0.15">
      <c r="A11" s="142" t="s">
        <v>137</v>
      </c>
      <c r="B11" s="212">
        <f>B12+B13+B14+B15+B16+B17+B18+B19+B20+B21+B22+B23+B24</f>
        <v>3.6999999999999997</v>
      </c>
      <c r="C11" s="140">
        <f>D11/1000</f>
        <v>2386.5743476396228</v>
      </c>
      <c r="D11" s="41">
        <f>SUM(D12:D24)</f>
        <v>2386574.3476396226</v>
      </c>
      <c r="E11" s="198">
        <f>SUM(E12:E24)</f>
        <v>408417.89999999997</v>
      </c>
      <c r="F11" s="195">
        <f t="shared" si="1"/>
        <v>2195.1309999999999</v>
      </c>
      <c r="G11" s="191">
        <f t="shared" si="2"/>
        <v>2195131</v>
      </c>
      <c r="H11" s="33">
        <f>SUM(H12:H24)</f>
        <v>0</v>
      </c>
      <c r="I11" s="198">
        <f>75000+160000</f>
        <v>235000</v>
      </c>
      <c r="J11" s="231"/>
      <c r="K11" s="41">
        <f>L11/1000</f>
        <v>2195.1309999999999</v>
      </c>
      <c r="L11" s="198">
        <f>SUM(L12:L25)</f>
        <v>2195131</v>
      </c>
      <c r="M11" s="195">
        <f t="shared" si="3"/>
        <v>0</v>
      </c>
      <c r="N11" s="33"/>
      <c r="O11" s="41">
        <f>P11/1000*-1</f>
        <v>0</v>
      </c>
      <c r="P11" s="191">
        <f t="shared" si="4"/>
        <v>0</v>
      </c>
      <c r="Q11" s="231">
        <f>SUM(Q12:Q24)</f>
        <v>0</v>
      </c>
      <c r="R11" s="41">
        <f>S11/1000*-1</f>
        <v>0</v>
      </c>
      <c r="S11" s="198"/>
      <c r="T11" s="33"/>
      <c r="U11" s="210">
        <f t="shared" si="5"/>
        <v>1978156.4476396225</v>
      </c>
      <c r="V11" s="33">
        <f>C11+M11</f>
        <v>2386.5743476396228</v>
      </c>
      <c r="W11" s="33">
        <f>F11+O11</f>
        <v>2195.1309999999999</v>
      </c>
      <c r="X11" s="231">
        <f t="shared" si="0"/>
        <v>0</v>
      </c>
      <c r="Y11" s="41">
        <f t="shared" si="0"/>
        <v>2195.1309999999999</v>
      </c>
      <c r="Z11" s="47"/>
      <c r="AA11" s="47"/>
    </row>
    <row r="12" spans="1:27" ht="9.9499999999999993" customHeight="1" x14ac:dyDescent="0.15">
      <c r="A12" s="144" t="s">
        <v>138</v>
      </c>
      <c r="B12" s="215">
        <v>0.55000000000000004</v>
      </c>
      <c r="C12" s="145">
        <f>D12/1000</f>
        <v>698.64699275724126</v>
      </c>
      <c r="D12" s="41">
        <f t="shared" ref="D12:D24" si="6">E12+U12</f>
        <v>698646.99275724124</v>
      </c>
      <c r="E12" s="200">
        <f>108303.35+234157.13+62136.23</f>
        <v>404596.70999999996</v>
      </c>
      <c r="F12" s="196"/>
      <c r="G12" s="191">
        <f t="shared" si="2"/>
        <v>2195131</v>
      </c>
      <c r="H12" s="36"/>
      <c r="I12" s="200">
        <f>75000+160000</f>
        <v>235000</v>
      </c>
      <c r="J12" s="230"/>
      <c r="K12" s="43">
        <v>0</v>
      </c>
      <c r="L12" s="198">
        <v>2195131</v>
      </c>
      <c r="M12" s="196">
        <f t="shared" si="3"/>
        <v>0</v>
      </c>
      <c r="N12" s="33"/>
      <c r="O12" s="41"/>
      <c r="P12" s="191">
        <f t="shared" si="4"/>
        <v>0</v>
      </c>
      <c r="Q12" s="231"/>
      <c r="R12" s="43">
        <f t="shared" ref="R12:R24" si="7">S12/1000*-1</f>
        <v>0</v>
      </c>
      <c r="S12" s="200"/>
      <c r="T12" s="36"/>
      <c r="U12" s="227">
        <f t="shared" si="5"/>
        <v>294050.28275724122</v>
      </c>
      <c r="V12" s="36">
        <f t="shared" ref="V12:V24" si="8">C12+M12</f>
        <v>698.64699275724126</v>
      </c>
      <c r="W12" s="36">
        <f t="shared" ref="W12:W25" si="9">F12+O12</f>
        <v>0</v>
      </c>
      <c r="X12" s="230"/>
      <c r="Y12" s="43">
        <f t="shared" si="0"/>
        <v>0</v>
      </c>
      <c r="Z12" s="47"/>
      <c r="AA12" s="47"/>
    </row>
    <row r="13" spans="1:27" ht="9.9499999999999993" customHeight="1" x14ac:dyDescent="0.15">
      <c r="A13" s="144" t="s">
        <v>139</v>
      </c>
      <c r="B13" s="215">
        <v>0.4</v>
      </c>
      <c r="C13" s="145">
        <f t="shared" ref="C13:C25" si="10">D13/1000</f>
        <v>213.85475109617542</v>
      </c>
      <c r="D13" s="41">
        <f t="shared" si="6"/>
        <v>213854.75109617543</v>
      </c>
      <c r="E13" s="200"/>
      <c r="F13" s="196">
        <f t="shared" si="1"/>
        <v>0</v>
      </c>
      <c r="G13" s="191">
        <f t="shared" si="2"/>
        <v>0</v>
      </c>
      <c r="H13" s="36"/>
      <c r="I13" s="200"/>
      <c r="J13" s="230"/>
      <c r="K13" s="43">
        <f t="shared" ref="K13:K25" si="11">L13/1000</f>
        <v>0</v>
      </c>
      <c r="L13" s="198"/>
      <c r="M13" s="196">
        <f t="shared" si="3"/>
        <v>0</v>
      </c>
      <c r="N13" s="33"/>
      <c r="O13" s="41"/>
      <c r="P13" s="191">
        <f t="shared" si="4"/>
        <v>0</v>
      </c>
      <c r="Q13" s="231"/>
      <c r="R13" s="43">
        <f t="shared" si="7"/>
        <v>0</v>
      </c>
      <c r="S13" s="200"/>
      <c r="T13" s="36"/>
      <c r="U13" s="227">
        <f t="shared" si="5"/>
        <v>213854.75109617543</v>
      </c>
      <c r="V13" s="36">
        <f t="shared" si="8"/>
        <v>213.85475109617542</v>
      </c>
      <c r="W13" s="36">
        <f t="shared" si="9"/>
        <v>0</v>
      </c>
      <c r="X13" s="230"/>
      <c r="Y13" s="43">
        <f t="shared" si="0"/>
        <v>0</v>
      </c>
      <c r="Z13" s="47"/>
      <c r="AA13" s="47"/>
    </row>
    <row r="14" spans="1:27" ht="9.9499999999999993" customHeight="1" x14ac:dyDescent="0.15">
      <c r="A14" s="144" t="s">
        <v>142</v>
      </c>
      <c r="B14" s="215">
        <v>0.9</v>
      </c>
      <c r="C14" s="145">
        <f t="shared" si="10"/>
        <v>481.30318996639477</v>
      </c>
      <c r="D14" s="41">
        <f t="shared" si="6"/>
        <v>481303.18996639474</v>
      </c>
      <c r="E14" s="198">
        <v>130</v>
      </c>
      <c r="F14" s="196">
        <f t="shared" si="1"/>
        <v>0</v>
      </c>
      <c r="G14" s="191">
        <f t="shared" si="2"/>
        <v>0</v>
      </c>
      <c r="H14" s="36"/>
      <c r="I14" s="200"/>
      <c r="J14" s="230"/>
      <c r="K14" s="43">
        <f t="shared" si="11"/>
        <v>0</v>
      </c>
      <c r="L14" s="198"/>
      <c r="M14" s="196">
        <f t="shared" si="3"/>
        <v>0</v>
      </c>
      <c r="N14" s="33"/>
      <c r="O14" s="41"/>
      <c r="P14" s="191">
        <f t="shared" si="4"/>
        <v>0</v>
      </c>
      <c r="Q14" s="231"/>
      <c r="R14" s="43">
        <f t="shared" si="7"/>
        <v>0</v>
      </c>
      <c r="S14" s="200"/>
      <c r="T14" s="36"/>
      <c r="U14" s="227">
        <f t="shared" si="5"/>
        <v>481173.18996639474</v>
      </c>
      <c r="V14" s="36">
        <f t="shared" si="8"/>
        <v>481.30318996639477</v>
      </c>
      <c r="W14" s="36">
        <f t="shared" si="9"/>
        <v>0</v>
      </c>
      <c r="X14" s="230"/>
      <c r="Y14" s="43">
        <f t="shared" si="0"/>
        <v>0</v>
      </c>
      <c r="Z14" s="47"/>
      <c r="AA14" s="47"/>
    </row>
    <row r="15" spans="1:27" ht="9.9499999999999993" customHeight="1" x14ac:dyDescent="0.15">
      <c r="A15" s="144" t="s">
        <v>143</v>
      </c>
      <c r="B15" s="215">
        <v>0.6</v>
      </c>
      <c r="C15" s="145">
        <f t="shared" si="10"/>
        <v>320.78212664426309</v>
      </c>
      <c r="D15" s="41">
        <f t="shared" si="6"/>
        <v>320782.1266442631</v>
      </c>
      <c r="E15" s="198"/>
      <c r="F15" s="196">
        <f t="shared" si="1"/>
        <v>0</v>
      </c>
      <c r="G15" s="191">
        <f t="shared" si="2"/>
        <v>0</v>
      </c>
      <c r="H15" s="36"/>
      <c r="I15" s="200"/>
      <c r="J15" s="230"/>
      <c r="K15" s="43">
        <f t="shared" si="11"/>
        <v>0</v>
      </c>
      <c r="L15" s="198"/>
      <c r="M15" s="196">
        <f t="shared" si="3"/>
        <v>0</v>
      </c>
      <c r="N15" s="33"/>
      <c r="O15" s="41"/>
      <c r="P15" s="191">
        <f t="shared" si="4"/>
        <v>0</v>
      </c>
      <c r="Q15" s="231"/>
      <c r="R15" s="43">
        <f t="shared" si="7"/>
        <v>0</v>
      </c>
      <c r="S15" s="200"/>
      <c r="T15" s="36"/>
      <c r="U15" s="227">
        <f t="shared" si="5"/>
        <v>320782.1266442631</v>
      </c>
      <c r="V15" s="36">
        <f t="shared" si="8"/>
        <v>320.78212664426309</v>
      </c>
      <c r="W15" s="36">
        <f t="shared" si="9"/>
        <v>0</v>
      </c>
      <c r="X15" s="230"/>
      <c r="Y15" s="43">
        <f t="shared" si="0"/>
        <v>0</v>
      </c>
      <c r="Z15" s="47"/>
      <c r="AA15" s="47"/>
    </row>
    <row r="16" spans="1:27" ht="9.9499999999999993" customHeight="1" x14ac:dyDescent="0.15">
      <c r="A16" s="144" t="s">
        <v>144</v>
      </c>
      <c r="B16" s="215">
        <v>0</v>
      </c>
      <c r="C16" s="145">
        <f t="shared" si="10"/>
        <v>0</v>
      </c>
      <c r="D16" s="41">
        <f t="shared" si="6"/>
        <v>0</v>
      </c>
      <c r="E16" s="198"/>
      <c r="F16" s="196">
        <f t="shared" si="1"/>
        <v>0</v>
      </c>
      <c r="G16" s="191">
        <f t="shared" si="2"/>
        <v>0</v>
      </c>
      <c r="H16" s="36"/>
      <c r="I16" s="200"/>
      <c r="J16" s="230"/>
      <c r="K16" s="43">
        <f t="shared" si="11"/>
        <v>0</v>
      </c>
      <c r="L16" s="198"/>
      <c r="M16" s="196">
        <f t="shared" si="3"/>
        <v>0</v>
      </c>
      <c r="N16" s="33"/>
      <c r="O16" s="41"/>
      <c r="P16" s="191">
        <f t="shared" si="4"/>
        <v>0</v>
      </c>
      <c r="Q16" s="231"/>
      <c r="R16" s="43">
        <f t="shared" si="7"/>
        <v>0</v>
      </c>
      <c r="S16" s="200"/>
      <c r="T16" s="36"/>
      <c r="U16" s="227">
        <f t="shared" si="5"/>
        <v>0</v>
      </c>
      <c r="V16" s="36">
        <f t="shared" si="8"/>
        <v>0</v>
      </c>
      <c r="W16" s="36">
        <f t="shared" si="9"/>
        <v>0</v>
      </c>
      <c r="X16" s="230"/>
      <c r="Y16" s="43">
        <f t="shared" si="0"/>
        <v>0</v>
      </c>
      <c r="Z16" s="47"/>
      <c r="AA16" s="47"/>
    </row>
    <row r="17" spans="1:27" ht="9.9499999999999993" customHeight="1" x14ac:dyDescent="0.15">
      <c r="A17" s="144" t="s">
        <v>145</v>
      </c>
      <c r="B17" s="215">
        <v>0.05</v>
      </c>
      <c r="C17" s="145">
        <f t="shared" si="10"/>
        <v>26.731843887021927</v>
      </c>
      <c r="D17" s="41">
        <f t="shared" si="6"/>
        <v>26731.843887021929</v>
      </c>
      <c r="E17" s="198"/>
      <c r="F17" s="196">
        <f t="shared" si="1"/>
        <v>0</v>
      </c>
      <c r="G17" s="191">
        <f t="shared" si="2"/>
        <v>0</v>
      </c>
      <c r="H17" s="36"/>
      <c r="I17" s="200"/>
      <c r="J17" s="230"/>
      <c r="K17" s="43">
        <f t="shared" si="11"/>
        <v>0</v>
      </c>
      <c r="L17" s="198"/>
      <c r="M17" s="196">
        <f t="shared" si="3"/>
        <v>0</v>
      </c>
      <c r="N17" s="33"/>
      <c r="O17" s="41"/>
      <c r="P17" s="191">
        <f t="shared" si="4"/>
        <v>0</v>
      </c>
      <c r="Q17" s="231"/>
      <c r="R17" s="43">
        <f t="shared" si="7"/>
        <v>0</v>
      </c>
      <c r="S17" s="200"/>
      <c r="T17" s="36"/>
      <c r="U17" s="227">
        <f t="shared" si="5"/>
        <v>26731.843887021929</v>
      </c>
      <c r="V17" s="36">
        <f t="shared" si="8"/>
        <v>26.731843887021927</v>
      </c>
      <c r="W17" s="36">
        <f t="shared" si="9"/>
        <v>0</v>
      </c>
      <c r="X17" s="230"/>
      <c r="Y17" s="43">
        <f t="shared" si="0"/>
        <v>0</v>
      </c>
      <c r="Z17" s="47"/>
      <c r="AA17" s="47"/>
    </row>
    <row r="18" spans="1:27" ht="9.9499999999999993" customHeight="1" x14ac:dyDescent="0.15">
      <c r="A18" s="144" t="s">
        <v>146</v>
      </c>
      <c r="B18" s="215">
        <v>0.1</v>
      </c>
      <c r="C18" s="145">
        <f t="shared" si="10"/>
        <v>53.463687774043855</v>
      </c>
      <c r="D18" s="41">
        <f t="shared" si="6"/>
        <v>53463.687774043858</v>
      </c>
      <c r="E18" s="198"/>
      <c r="F18" s="196">
        <f t="shared" si="1"/>
        <v>0</v>
      </c>
      <c r="G18" s="191">
        <f t="shared" si="2"/>
        <v>0</v>
      </c>
      <c r="H18" s="36"/>
      <c r="I18" s="200"/>
      <c r="J18" s="230"/>
      <c r="K18" s="43">
        <f t="shared" si="11"/>
        <v>0</v>
      </c>
      <c r="L18" s="198"/>
      <c r="M18" s="196">
        <f t="shared" si="3"/>
        <v>0</v>
      </c>
      <c r="N18" s="33"/>
      <c r="O18" s="41"/>
      <c r="P18" s="191">
        <f t="shared" si="4"/>
        <v>0</v>
      </c>
      <c r="Q18" s="231"/>
      <c r="R18" s="43">
        <f t="shared" si="7"/>
        <v>0</v>
      </c>
      <c r="S18" s="200"/>
      <c r="T18" s="36"/>
      <c r="U18" s="227">
        <f t="shared" si="5"/>
        <v>53463.687774043858</v>
      </c>
      <c r="V18" s="36">
        <f t="shared" si="8"/>
        <v>53.463687774043855</v>
      </c>
      <c r="W18" s="36">
        <f t="shared" si="9"/>
        <v>0</v>
      </c>
      <c r="X18" s="230"/>
      <c r="Y18" s="43">
        <f t="shared" si="0"/>
        <v>0</v>
      </c>
      <c r="Z18" s="47"/>
      <c r="AA18" s="47"/>
    </row>
    <row r="19" spans="1:27" ht="9.9499999999999993" customHeight="1" x14ac:dyDescent="0.15">
      <c r="A19" s="144" t="s">
        <v>147</v>
      </c>
      <c r="B19" s="215">
        <v>0.05</v>
      </c>
      <c r="C19" s="145">
        <f t="shared" si="10"/>
        <v>26.731843887021927</v>
      </c>
      <c r="D19" s="41">
        <f t="shared" si="6"/>
        <v>26731.843887021929</v>
      </c>
      <c r="E19" s="198"/>
      <c r="F19" s="196">
        <f t="shared" si="1"/>
        <v>0</v>
      </c>
      <c r="G19" s="191">
        <f t="shared" si="2"/>
        <v>0</v>
      </c>
      <c r="H19" s="36"/>
      <c r="I19" s="200"/>
      <c r="J19" s="230"/>
      <c r="K19" s="43">
        <f t="shared" si="11"/>
        <v>0</v>
      </c>
      <c r="L19" s="198"/>
      <c r="M19" s="196">
        <f t="shared" si="3"/>
        <v>0</v>
      </c>
      <c r="N19" s="33"/>
      <c r="O19" s="41"/>
      <c r="P19" s="191">
        <f t="shared" si="4"/>
        <v>0</v>
      </c>
      <c r="Q19" s="231"/>
      <c r="R19" s="43">
        <f t="shared" si="7"/>
        <v>0</v>
      </c>
      <c r="S19" s="200"/>
      <c r="T19" s="36"/>
      <c r="U19" s="227">
        <f t="shared" si="5"/>
        <v>26731.843887021929</v>
      </c>
      <c r="V19" s="36">
        <f t="shared" si="8"/>
        <v>26.731843887021927</v>
      </c>
      <c r="W19" s="36">
        <f t="shared" si="9"/>
        <v>0</v>
      </c>
      <c r="X19" s="230"/>
      <c r="Y19" s="43">
        <f t="shared" si="0"/>
        <v>0</v>
      </c>
      <c r="Z19" s="47"/>
      <c r="AA19" s="47"/>
    </row>
    <row r="20" spans="1:27" ht="9.9499999999999993" customHeight="1" x14ac:dyDescent="0.15">
      <c r="A20" s="144" t="s">
        <v>148</v>
      </c>
      <c r="B20" s="215">
        <v>0.2</v>
      </c>
      <c r="C20" s="145">
        <f t="shared" si="10"/>
        <v>108.99106554808772</v>
      </c>
      <c r="D20" s="41">
        <f t="shared" si="6"/>
        <v>108991.06554808772</v>
      </c>
      <c r="E20" s="198">
        <v>2063.69</v>
      </c>
      <c r="F20" s="196">
        <f t="shared" si="1"/>
        <v>0</v>
      </c>
      <c r="G20" s="191">
        <f t="shared" si="2"/>
        <v>0</v>
      </c>
      <c r="H20" s="36"/>
      <c r="I20" s="200"/>
      <c r="J20" s="230"/>
      <c r="K20" s="43">
        <f t="shared" si="11"/>
        <v>0</v>
      </c>
      <c r="L20" s="198"/>
      <c r="M20" s="196">
        <f t="shared" si="3"/>
        <v>0</v>
      </c>
      <c r="N20" s="33"/>
      <c r="O20" s="41"/>
      <c r="P20" s="191">
        <f t="shared" si="4"/>
        <v>0</v>
      </c>
      <c r="Q20" s="231"/>
      <c r="R20" s="43">
        <f t="shared" si="7"/>
        <v>0</v>
      </c>
      <c r="S20" s="200"/>
      <c r="T20" s="36"/>
      <c r="U20" s="227">
        <f t="shared" si="5"/>
        <v>106927.37554808772</v>
      </c>
      <c r="V20" s="36">
        <f t="shared" si="8"/>
        <v>108.99106554808772</v>
      </c>
      <c r="W20" s="36">
        <f t="shared" si="9"/>
        <v>0</v>
      </c>
      <c r="X20" s="230"/>
      <c r="Y20" s="43">
        <f t="shared" si="0"/>
        <v>0</v>
      </c>
      <c r="Z20" s="47"/>
      <c r="AA20" s="47"/>
    </row>
    <row r="21" spans="1:27" ht="9.9499999999999993" customHeight="1" x14ac:dyDescent="0.15">
      <c r="A21" s="144" t="s">
        <v>149</v>
      </c>
      <c r="B21" s="215">
        <v>0.65</v>
      </c>
      <c r="C21" s="145">
        <f t="shared" si="10"/>
        <v>347.75147053128512</v>
      </c>
      <c r="D21" s="41">
        <f t="shared" si="6"/>
        <v>347751.4705312851</v>
      </c>
      <c r="E21" s="198">
        <v>237.5</v>
      </c>
      <c r="F21" s="196">
        <f t="shared" si="1"/>
        <v>0</v>
      </c>
      <c r="G21" s="191">
        <f t="shared" si="2"/>
        <v>0</v>
      </c>
      <c r="H21" s="36"/>
      <c r="I21" s="200"/>
      <c r="J21" s="230"/>
      <c r="K21" s="43">
        <f t="shared" si="11"/>
        <v>0</v>
      </c>
      <c r="L21" s="198"/>
      <c r="M21" s="196">
        <f t="shared" si="3"/>
        <v>0</v>
      </c>
      <c r="N21" s="33"/>
      <c r="O21" s="41"/>
      <c r="P21" s="191">
        <f t="shared" si="4"/>
        <v>0</v>
      </c>
      <c r="Q21" s="231"/>
      <c r="R21" s="43">
        <f t="shared" si="7"/>
        <v>0</v>
      </c>
      <c r="S21" s="200"/>
      <c r="T21" s="36"/>
      <c r="U21" s="227">
        <f t="shared" si="5"/>
        <v>347513.9705312851</v>
      </c>
      <c r="V21" s="36">
        <f t="shared" si="8"/>
        <v>347.75147053128512</v>
      </c>
      <c r="W21" s="36">
        <f t="shared" si="9"/>
        <v>0</v>
      </c>
      <c r="X21" s="230"/>
      <c r="Y21" s="43">
        <f t="shared" si="0"/>
        <v>0</v>
      </c>
      <c r="Z21" s="47"/>
      <c r="AA21" s="47"/>
    </row>
    <row r="22" spans="1:27" ht="9.9499999999999993" customHeight="1" x14ac:dyDescent="0.15">
      <c r="A22" s="144" t="s">
        <v>150</v>
      </c>
      <c r="B22" s="215">
        <v>0.05</v>
      </c>
      <c r="C22" s="145">
        <f t="shared" si="10"/>
        <v>28.121843887021928</v>
      </c>
      <c r="D22" s="41">
        <f t="shared" si="6"/>
        <v>28121.843887021929</v>
      </c>
      <c r="E22" s="198">
        <v>1390</v>
      </c>
      <c r="F22" s="196">
        <f t="shared" si="1"/>
        <v>0</v>
      </c>
      <c r="G22" s="191">
        <f t="shared" si="2"/>
        <v>0</v>
      </c>
      <c r="H22" s="36"/>
      <c r="I22" s="200"/>
      <c r="J22" s="230"/>
      <c r="K22" s="43">
        <f t="shared" si="11"/>
        <v>0</v>
      </c>
      <c r="L22" s="198"/>
      <c r="M22" s="196">
        <f t="shared" si="3"/>
        <v>0</v>
      </c>
      <c r="N22" s="33"/>
      <c r="O22" s="41"/>
      <c r="P22" s="191">
        <f t="shared" si="4"/>
        <v>0</v>
      </c>
      <c r="Q22" s="231"/>
      <c r="R22" s="43">
        <f t="shared" si="7"/>
        <v>0</v>
      </c>
      <c r="S22" s="200"/>
      <c r="T22" s="36"/>
      <c r="U22" s="227">
        <f t="shared" si="5"/>
        <v>26731.843887021929</v>
      </c>
      <c r="V22" s="36">
        <f t="shared" si="8"/>
        <v>28.121843887021928</v>
      </c>
      <c r="W22" s="36">
        <f t="shared" si="9"/>
        <v>0</v>
      </c>
      <c r="X22" s="230"/>
      <c r="Y22" s="43">
        <f t="shared" si="0"/>
        <v>0</v>
      </c>
      <c r="Z22" s="47"/>
      <c r="AA22" s="47"/>
    </row>
    <row r="23" spans="1:27" ht="9.9499999999999993" customHeight="1" x14ac:dyDescent="0.15">
      <c r="A23" s="144" t="s">
        <v>151</v>
      </c>
      <c r="B23" s="215">
        <v>0</v>
      </c>
      <c r="C23" s="145">
        <f t="shared" si="10"/>
        <v>0</v>
      </c>
      <c r="D23" s="41">
        <f t="shared" si="6"/>
        <v>0</v>
      </c>
      <c r="E23" s="198"/>
      <c r="F23" s="196">
        <f t="shared" si="1"/>
        <v>0</v>
      </c>
      <c r="G23" s="191">
        <f t="shared" si="2"/>
        <v>0</v>
      </c>
      <c r="H23" s="36"/>
      <c r="I23" s="200"/>
      <c r="J23" s="230"/>
      <c r="K23" s="43">
        <f t="shared" si="11"/>
        <v>0</v>
      </c>
      <c r="L23" s="198"/>
      <c r="M23" s="196">
        <f t="shared" si="3"/>
        <v>0</v>
      </c>
      <c r="N23" s="33"/>
      <c r="O23" s="41"/>
      <c r="P23" s="191">
        <f t="shared" si="4"/>
        <v>0</v>
      </c>
      <c r="Q23" s="231"/>
      <c r="R23" s="43">
        <f t="shared" si="7"/>
        <v>0</v>
      </c>
      <c r="S23" s="200"/>
      <c r="T23" s="36"/>
      <c r="U23" s="227">
        <f t="shared" si="5"/>
        <v>0</v>
      </c>
      <c r="V23" s="36">
        <f t="shared" si="8"/>
        <v>0</v>
      </c>
      <c r="W23" s="36">
        <f t="shared" si="9"/>
        <v>0</v>
      </c>
      <c r="X23" s="230"/>
      <c r="Y23" s="43">
        <f t="shared" si="0"/>
        <v>0</v>
      </c>
      <c r="Z23" s="47"/>
      <c r="AA23" s="47"/>
    </row>
    <row r="24" spans="1:27" ht="9.9499999999999993" customHeight="1" x14ac:dyDescent="0.15">
      <c r="A24" s="144" t="s">
        <v>152</v>
      </c>
      <c r="B24" s="215">
        <v>0.15</v>
      </c>
      <c r="C24" s="145">
        <f t="shared" si="10"/>
        <v>80.195531661065772</v>
      </c>
      <c r="D24" s="41">
        <f t="shared" si="6"/>
        <v>80195.531661065776</v>
      </c>
      <c r="E24" s="198"/>
      <c r="F24" s="196">
        <f t="shared" si="1"/>
        <v>0</v>
      </c>
      <c r="G24" s="191">
        <f t="shared" si="2"/>
        <v>0</v>
      </c>
      <c r="H24" s="36"/>
      <c r="I24" s="200"/>
      <c r="J24" s="230"/>
      <c r="K24" s="43">
        <f t="shared" si="11"/>
        <v>0</v>
      </c>
      <c r="L24" s="198"/>
      <c r="M24" s="196">
        <f t="shared" si="3"/>
        <v>0</v>
      </c>
      <c r="N24" s="33"/>
      <c r="O24" s="41"/>
      <c r="P24" s="191">
        <f t="shared" si="4"/>
        <v>0</v>
      </c>
      <c r="Q24" s="231"/>
      <c r="R24" s="43">
        <f t="shared" si="7"/>
        <v>0</v>
      </c>
      <c r="S24" s="200"/>
      <c r="T24" s="36"/>
      <c r="U24" s="227">
        <f t="shared" si="5"/>
        <v>80195.531661065776</v>
      </c>
      <c r="V24" s="36">
        <f t="shared" si="8"/>
        <v>80.195531661065772</v>
      </c>
      <c r="W24" s="36">
        <f t="shared" si="9"/>
        <v>0</v>
      </c>
      <c r="X24" s="230"/>
      <c r="Y24" s="43">
        <f t="shared" si="0"/>
        <v>0</v>
      </c>
      <c r="Z24" s="47"/>
      <c r="AA24" s="47"/>
    </row>
    <row r="25" spans="1:27" ht="9.9499999999999993" hidden="1" customHeight="1" x14ac:dyDescent="0.15">
      <c r="A25" s="144"/>
      <c r="B25" s="212"/>
      <c r="C25" s="145">
        <f t="shared" si="10"/>
        <v>0</v>
      </c>
      <c r="D25" s="41"/>
      <c r="E25" s="198"/>
      <c r="F25" s="195">
        <f t="shared" si="1"/>
        <v>0</v>
      </c>
      <c r="G25" s="191">
        <f t="shared" si="2"/>
        <v>0</v>
      </c>
      <c r="H25" s="33"/>
      <c r="I25" s="198"/>
      <c r="J25" s="231"/>
      <c r="K25" s="41">
        <f t="shared" si="11"/>
        <v>0</v>
      </c>
      <c r="L25" s="198"/>
      <c r="M25" s="195">
        <f t="shared" si="3"/>
        <v>0</v>
      </c>
      <c r="N25" s="33"/>
      <c r="O25" s="41"/>
      <c r="P25" s="191">
        <f t="shared" si="4"/>
        <v>0</v>
      </c>
      <c r="Q25" s="231"/>
      <c r="R25" s="41"/>
      <c r="S25" s="198"/>
      <c r="T25" s="33"/>
      <c r="U25" s="210">
        <f t="shared" si="5"/>
        <v>0</v>
      </c>
      <c r="V25" s="33"/>
      <c r="W25" s="33">
        <f t="shared" si="9"/>
        <v>0</v>
      </c>
      <c r="X25" s="231"/>
      <c r="Y25" s="41"/>
      <c r="Z25" s="47"/>
      <c r="AA25" s="47"/>
    </row>
    <row r="26" spans="1:27" ht="9.9499999999999993" customHeight="1" x14ac:dyDescent="0.15">
      <c r="A26" s="142" t="s">
        <v>153</v>
      </c>
      <c r="B26" s="212">
        <f>B29+B30+B31+B32+B33+B27+B28+B34</f>
        <v>3.4499999999999997</v>
      </c>
      <c r="C26" s="140">
        <f>D26/1000</f>
        <v>2330.7801882045128</v>
      </c>
      <c r="D26" s="41">
        <f>SUM(D27:D34)</f>
        <v>2330780.1882045129</v>
      </c>
      <c r="E26" s="198">
        <f>SUM(E27:E34)</f>
        <v>486282.95999999996</v>
      </c>
      <c r="F26" s="195">
        <f t="shared" si="1"/>
        <v>2227.1909999999998</v>
      </c>
      <c r="G26" s="191">
        <f t="shared" si="2"/>
        <v>2227191</v>
      </c>
      <c r="H26" s="33">
        <f>SUM(H27:H34)</f>
        <v>0</v>
      </c>
      <c r="I26" s="198">
        <f>I29+I30+I31+I32+I33+I34</f>
        <v>399500</v>
      </c>
      <c r="J26" s="231">
        <f>SUM(J27:J34)</f>
        <v>0</v>
      </c>
      <c r="K26" s="41">
        <f>L26/1000</f>
        <v>2227.1909999999998</v>
      </c>
      <c r="L26" s="198">
        <f>L29+L30+L31+L32+L33+L34+L27+L28</f>
        <v>2227191</v>
      </c>
      <c r="M26" s="195">
        <f t="shared" si="3"/>
        <v>0</v>
      </c>
      <c r="N26" s="33">
        <f>N29+N30+N31+N32+N33</f>
        <v>0</v>
      </c>
      <c r="O26" s="41">
        <f>P26/1000*-1</f>
        <v>-247.5</v>
      </c>
      <c r="P26" s="191">
        <f t="shared" si="4"/>
        <v>247500</v>
      </c>
      <c r="Q26" s="231">
        <f>SUM(Q27:Q34)</f>
        <v>0</v>
      </c>
      <c r="R26" s="41">
        <f>S26/1000*-1</f>
        <v>-247.5</v>
      </c>
      <c r="S26" s="198">
        <f>SUM(S27:S35)</f>
        <v>247500</v>
      </c>
      <c r="T26" s="33"/>
      <c r="U26" s="210">
        <f t="shared" si="5"/>
        <v>1844497.228204513</v>
      </c>
      <c r="V26" s="33">
        <f>C26+M26</f>
        <v>2330.7801882045128</v>
      </c>
      <c r="W26" s="33">
        <f>F26+O26</f>
        <v>1979.6909999999998</v>
      </c>
      <c r="X26" s="231">
        <f>J26+Q26</f>
        <v>0</v>
      </c>
      <c r="Y26" s="41">
        <f>K26+R26</f>
        <v>1979.6909999999998</v>
      </c>
      <c r="Z26" s="47"/>
      <c r="AA26" s="47"/>
    </row>
    <row r="27" spans="1:27" ht="9.9499999999999993" customHeight="1" x14ac:dyDescent="0.15">
      <c r="A27" s="144" t="s">
        <v>154</v>
      </c>
      <c r="B27" s="215">
        <v>0.4</v>
      </c>
      <c r="C27" s="145">
        <f t="shared" ref="C27:C34" si="12">D27/1000</f>
        <v>213.85475109617542</v>
      </c>
      <c r="D27" s="41">
        <f t="shared" ref="D27:D90" si="13">E27+U27</f>
        <v>213854.75109617543</v>
      </c>
      <c r="E27" s="198"/>
      <c r="F27" s="196">
        <f t="shared" si="1"/>
        <v>211.90600000000001</v>
      </c>
      <c r="G27" s="191">
        <f t="shared" si="2"/>
        <v>211906</v>
      </c>
      <c r="H27" s="33"/>
      <c r="I27" s="198"/>
      <c r="J27" s="230"/>
      <c r="K27" s="43">
        <f t="shared" ref="K27:K90" si="14">L27/1000</f>
        <v>211.90600000000001</v>
      </c>
      <c r="L27" s="200">
        <v>211906</v>
      </c>
      <c r="M27" s="196">
        <f t="shared" si="3"/>
        <v>0</v>
      </c>
      <c r="N27" s="33"/>
      <c r="O27" s="43">
        <v>0</v>
      </c>
      <c r="P27" s="191">
        <f t="shared" si="4"/>
        <v>0</v>
      </c>
      <c r="Q27" s="230">
        <v>0</v>
      </c>
      <c r="R27" s="43">
        <v>0</v>
      </c>
      <c r="S27" s="198"/>
      <c r="T27" s="33"/>
      <c r="U27" s="210">
        <f t="shared" si="5"/>
        <v>213854.75109617543</v>
      </c>
      <c r="V27" s="36">
        <f>C27+M27</f>
        <v>213.85475109617542</v>
      </c>
      <c r="W27" s="36">
        <f>F27+O27</f>
        <v>211.90600000000001</v>
      </c>
      <c r="X27" s="230">
        <f>J27+Q27</f>
        <v>0</v>
      </c>
      <c r="Y27" s="43">
        <f>K27+R27</f>
        <v>211.90600000000001</v>
      </c>
      <c r="Z27" s="47"/>
      <c r="AA27" s="47"/>
    </row>
    <row r="28" spans="1:27" ht="9.9499999999999993" customHeight="1" x14ac:dyDescent="0.15">
      <c r="A28" s="144" t="s">
        <v>155</v>
      </c>
      <c r="B28" s="215">
        <v>0.4</v>
      </c>
      <c r="C28" s="145">
        <f t="shared" si="12"/>
        <v>213.85475109617542</v>
      </c>
      <c r="D28" s="41">
        <f t="shared" si="13"/>
        <v>213854.75109617543</v>
      </c>
      <c r="E28" s="198"/>
      <c r="F28" s="196">
        <f t="shared" si="1"/>
        <v>211.90600000000001</v>
      </c>
      <c r="G28" s="191">
        <f t="shared" si="2"/>
        <v>211906</v>
      </c>
      <c r="H28" s="33"/>
      <c r="I28" s="198"/>
      <c r="J28" s="230"/>
      <c r="K28" s="43">
        <f t="shared" si="14"/>
        <v>211.90600000000001</v>
      </c>
      <c r="L28" s="200">
        <v>211906</v>
      </c>
      <c r="M28" s="196">
        <f t="shared" si="3"/>
        <v>0</v>
      </c>
      <c r="N28" s="33"/>
      <c r="O28" s="43">
        <v>0</v>
      </c>
      <c r="P28" s="191">
        <f t="shared" si="4"/>
        <v>0</v>
      </c>
      <c r="Q28" s="230">
        <v>0</v>
      </c>
      <c r="R28" s="43">
        <v>0</v>
      </c>
      <c r="S28" s="198"/>
      <c r="T28" s="33"/>
      <c r="U28" s="210">
        <f t="shared" si="5"/>
        <v>213854.75109617543</v>
      </c>
      <c r="V28" s="36">
        <f t="shared" ref="V28:V34" si="15">C28+M28</f>
        <v>213.85475109617542</v>
      </c>
      <c r="W28" s="36">
        <f t="shared" ref="W28:W34" si="16">F28+O28</f>
        <v>211.90600000000001</v>
      </c>
      <c r="X28" s="230">
        <f t="shared" ref="X28:Y34" si="17">J28+Q28</f>
        <v>0</v>
      </c>
      <c r="Y28" s="43">
        <f t="shared" si="17"/>
        <v>211.90600000000001</v>
      </c>
      <c r="Z28" s="47"/>
      <c r="AA28" s="47"/>
    </row>
    <row r="29" spans="1:27" ht="9.9499999999999993" customHeight="1" x14ac:dyDescent="0.15">
      <c r="A29" s="144" t="s">
        <v>156</v>
      </c>
      <c r="B29" s="215">
        <v>0.8</v>
      </c>
      <c r="C29" s="145">
        <f t="shared" si="12"/>
        <v>427.70950219235084</v>
      </c>
      <c r="D29" s="41">
        <f t="shared" si="13"/>
        <v>427709.50219235086</v>
      </c>
      <c r="E29" s="200"/>
      <c r="F29" s="196">
        <f t="shared" si="1"/>
        <v>425.81200000000001</v>
      </c>
      <c r="G29" s="191">
        <f t="shared" si="2"/>
        <v>425812</v>
      </c>
      <c r="H29" s="33"/>
      <c r="I29" s="200">
        <v>2000</v>
      </c>
      <c r="J29" s="230"/>
      <c r="K29" s="43">
        <f t="shared" si="14"/>
        <v>425.81200000000001</v>
      </c>
      <c r="L29" s="200">
        <v>425812</v>
      </c>
      <c r="M29" s="196">
        <f t="shared" si="3"/>
        <v>0</v>
      </c>
      <c r="N29" s="36"/>
      <c r="O29" s="43">
        <v>0</v>
      </c>
      <c r="P29" s="191">
        <f t="shared" si="4"/>
        <v>0</v>
      </c>
      <c r="Q29" s="230">
        <v>0</v>
      </c>
      <c r="R29" s="43">
        <v>0</v>
      </c>
      <c r="S29" s="200"/>
      <c r="T29" s="36"/>
      <c r="U29" s="210">
        <f t="shared" si="5"/>
        <v>427709.50219235086</v>
      </c>
      <c r="V29" s="36">
        <f t="shared" si="15"/>
        <v>427.70950219235084</v>
      </c>
      <c r="W29" s="36">
        <f t="shared" si="16"/>
        <v>425.81200000000001</v>
      </c>
      <c r="X29" s="230">
        <f t="shared" si="17"/>
        <v>0</v>
      </c>
      <c r="Y29" s="43">
        <f t="shared" si="17"/>
        <v>425.81200000000001</v>
      </c>
      <c r="Z29" s="47"/>
      <c r="AA29" s="47"/>
    </row>
    <row r="30" spans="1:27" ht="9.9499999999999993" customHeight="1" x14ac:dyDescent="0.15">
      <c r="A30" s="144" t="s">
        <v>157</v>
      </c>
      <c r="B30" s="215">
        <v>0.6</v>
      </c>
      <c r="C30" s="145">
        <f t="shared" si="12"/>
        <v>563.88366664426303</v>
      </c>
      <c r="D30" s="41">
        <f t="shared" si="13"/>
        <v>563883.66664426308</v>
      </c>
      <c r="E30" s="200">
        <v>243101.54</v>
      </c>
      <c r="F30" s="196">
        <f t="shared" si="1"/>
        <v>317.85899999999998</v>
      </c>
      <c r="G30" s="191">
        <f t="shared" si="2"/>
        <v>317859</v>
      </c>
      <c r="H30" s="33"/>
      <c r="I30" s="200"/>
      <c r="J30" s="230"/>
      <c r="K30" s="43">
        <f t="shared" si="14"/>
        <v>317.85899999999998</v>
      </c>
      <c r="L30" s="200">
        <v>317859</v>
      </c>
      <c r="M30" s="196">
        <f t="shared" si="3"/>
        <v>0</v>
      </c>
      <c r="N30" s="36"/>
      <c r="O30" s="43">
        <v>0</v>
      </c>
      <c r="P30" s="191">
        <f t="shared" si="4"/>
        <v>0</v>
      </c>
      <c r="Q30" s="230">
        <v>0</v>
      </c>
      <c r="R30" s="43">
        <v>0</v>
      </c>
      <c r="S30" s="200"/>
      <c r="T30" s="36"/>
      <c r="U30" s="210">
        <f t="shared" si="5"/>
        <v>320782.1266442631</v>
      </c>
      <c r="V30" s="36">
        <f t="shared" si="15"/>
        <v>563.88366664426303</v>
      </c>
      <c r="W30" s="36">
        <f t="shared" si="16"/>
        <v>317.85899999999998</v>
      </c>
      <c r="X30" s="230">
        <f t="shared" si="17"/>
        <v>0</v>
      </c>
      <c r="Y30" s="43">
        <f t="shared" si="17"/>
        <v>317.85899999999998</v>
      </c>
      <c r="Z30" s="47"/>
      <c r="AA30" s="47"/>
    </row>
    <row r="31" spans="1:27" ht="9.9499999999999993" customHeight="1" x14ac:dyDescent="0.15">
      <c r="A31" s="144" t="s">
        <v>158</v>
      </c>
      <c r="B31" s="215">
        <v>0.5</v>
      </c>
      <c r="C31" s="145">
        <f t="shared" si="12"/>
        <v>293.15125887021929</v>
      </c>
      <c r="D31" s="41">
        <f t="shared" si="13"/>
        <v>293151.25887021929</v>
      </c>
      <c r="E31" s="200">
        <f>18404.44+7428.38</f>
        <v>25832.82</v>
      </c>
      <c r="F31" s="196">
        <f t="shared" si="1"/>
        <v>319.88299999999998</v>
      </c>
      <c r="G31" s="191">
        <f t="shared" si="2"/>
        <v>319883</v>
      </c>
      <c r="H31" s="33"/>
      <c r="I31" s="200">
        <v>55000</v>
      </c>
      <c r="J31" s="230"/>
      <c r="K31" s="43">
        <f t="shared" si="14"/>
        <v>319.88299999999998</v>
      </c>
      <c r="L31" s="200">
        <v>319883</v>
      </c>
      <c r="M31" s="196">
        <f t="shared" si="3"/>
        <v>0</v>
      </c>
      <c r="N31" s="36"/>
      <c r="O31" s="43">
        <f>P31/1000*-1</f>
        <v>0</v>
      </c>
      <c r="P31" s="191">
        <f t="shared" si="4"/>
        <v>0</v>
      </c>
      <c r="Q31" s="230">
        <v>0</v>
      </c>
      <c r="R31" s="43">
        <f>S31/1000*-1</f>
        <v>0</v>
      </c>
      <c r="S31" s="200"/>
      <c r="T31" s="36"/>
      <c r="U31" s="210">
        <f t="shared" si="5"/>
        <v>267318.43887021928</v>
      </c>
      <c r="V31" s="36">
        <f t="shared" si="15"/>
        <v>293.15125887021929</v>
      </c>
      <c r="W31" s="36">
        <f t="shared" si="16"/>
        <v>319.88299999999998</v>
      </c>
      <c r="X31" s="230">
        <f t="shared" si="17"/>
        <v>0</v>
      </c>
      <c r="Y31" s="43">
        <f t="shared" si="17"/>
        <v>319.88299999999998</v>
      </c>
      <c r="Z31" s="47"/>
      <c r="AA31" s="47"/>
    </row>
    <row r="32" spans="1:27" ht="9.9499999999999993" customHeight="1" x14ac:dyDescent="0.15">
      <c r="A32" s="144" t="s">
        <v>159</v>
      </c>
      <c r="B32" s="215">
        <v>0.4</v>
      </c>
      <c r="C32" s="145">
        <f t="shared" si="12"/>
        <v>290.78133109617539</v>
      </c>
      <c r="D32" s="41">
        <f t="shared" si="13"/>
        <v>290781.33109617542</v>
      </c>
      <c r="E32" s="200">
        <f>196.5+30432.38+46297.7</f>
        <v>76926.58</v>
      </c>
      <c r="F32" s="196">
        <f t="shared" si="1"/>
        <v>346.37099999999998</v>
      </c>
      <c r="G32" s="191">
        <f t="shared" si="2"/>
        <v>346371</v>
      </c>
      <c r="H32" s="33"/>
      <c r="I32" s="200">
        <v>55000</v>
      </c>
      <c r="J32" s="230"/>
      <c r="K32" s="43">
        <f t="shared" si="14"/>
        <v>346.37099999999998</v>
      </c>
      <c r="L32" s="200">
        <v>346371</v>
      </c>
      <c r="M32" s="196">
        <f t="shared" si="3"/>
        <v>0</v>
      </c>
      <c r="N32" s="36"/>
      <c r="O32" s="43">
        <f>P32/1000*-1</f>
        <v>0</v>
      </c>
      <c r="P32" s="191">
        <f t="shared" si="4"/>
        <v>0</v>
      </c>
      <c r="Q32" s="230">
        <v>0</v>
      </c>
      <c r="R32" s="43">
        <f>S32/1000*-1</f>
        <v>0</v>
      </c>
      <c r="S32" s="200"/>
      <c r="T32" s="36"/>
      <c r="U32" s="210">
        <f t="shared" si="5"/>
        <v>213854.75109617543</v>
      </c>
      <c r="V32" s="36">
        <f t="shared" si="15"/>
        <v>290.78133109617539</v>
      </c>
      <c r="W32" s="36">
        <f t="shared" si="16"/>
        <v>346.37099999999998</v>
      </c>
      <c r="X32" s="230">
        <f t="shared" si="17"/>
        <v>0</v>
      </c>
      <c r="Y32" s="43">
        <f t="shared" si="17"/>
        <v>346.37099999999998</v>
      </c>
      <c r="Z32" s="47"/>
      <c r="AA32" s="47"/>
    </row>
    <row r="33" spans="1:38" ht="9.9499999999999993" customHeight="1" x14ac:dyDescent="0.15">
      <c r="A33" s="144" t="s">
        <v>160</v>
      </c>
      <c r="B33" s="215">
        <v>0.25</v>
      </c>
      <c r="C33" s="145">
        <f t="shared" si="12"/>
        <v>274.08123943510964</v>
      </c>
      <c r="D33" s="41">
        <f t="shared" si="13"/>
        <v>274081.23943510966</v>
      </c>
      <c r="E33" s="200">
        <v>140422.01999999999</v>
      </c>
      <c r="F33" s="196">
        <f t="shared" si="1"/>
        <v>57.976999999999997</v>
      </c>
      <c r="G33" s="191">
        <f t="shared" si="2"/>
        <v>57977</v>
      </c>
      <c r="H33" s="33"/>
      <c r="I33" s="200">
        <v>5000</v>
      </c>
      <c r="J33" s="230"/>
      <c r="K33" s="43">
        <f t="shared" si="14"/>
        <v>57.976999999999997</v>
      </c>
      <c r="L33" s="200">
        <v>57977</v>
      </c>
      <c r="M33" s="196">
        <f t="shared" si="3"/>
        <v>0</v>
      </c>
      <c r="N33" s="36"/>
      <c r="O33" s="43">
        <f>P33/1000*-1</f>
        <v>0</v>
      </c>
      <c r="P33" s="191">
        <f t="shared" si="4"/>
        <v>0</v>
      </c>
      <c r="Q33" s="230">
        <v>0</v>
      </c>
      <c r="R33" s="43">
        <f>S33/1000*-1</f>
        <v>0</v>
      </c>
      <c r="S33" s="200"/>
      <c r="T33" s="36"/>
      <c r="U33" s="210">
        <f t="shared" si="5"/>
        <v>133659.21943510964</v>
      </c>
      <c r="V33" s="36">
        <f t="shared" si="15"/>
        <v>274.08123943510964</v>
      </c>
      <c r="W33" s="36">
        <f t="shared" si="16"/>
        <v>57.976999999999997</v>
      </c>
      <c r="X33" s="230">
        <f t="shared" si="17"/>
        <v>0</v>
      </c>
      <c r="Y33" s="43">
        <f t="shared" si="17"/>
        <v>57.976999999999997</v>
      </c>
      <c r="Z33" s="47"/>
      <c r="AA33" s="47"/>
    </row>
    <row r="34" spans="1:38" s="42" customFormat="1" ht="9.9499999999999993" customHeight="1" x14ac:dyDescent="0.15">
      <c r="A34" s="144" t="s">
        <v>161</v>
      </c>
      <c r="B34" s="215">
        <v>0.1</v>
      </c>
      <c r="C34" s="145">
        <f t="shared" si="12"/>
        <v>53.463687774043855</v>
      </c>
      <c r="D34" s="41">
        <f t="shared" si="13"/>
        <v>53463.687774043858</v>
      </c>
      <c r="E34" s="198"/>
      <c r="F34" s="196">
        <f t="shared" si="1"/>
        <v>335.47699999999998</v>
      </c>
      <c r="G34" s="191">
        <f t="shared" si="2"/>
        <v>335477</v>
      </c>
      <c r="H34" s="33"/>
      <c r="I34" s="200">
        <f>5000+5000+50000+50000+172500</f>
        <v>282500</v>
      </c>
      <c r="J34" s="230"/>
      <c r="K34" s="43">
        <f t="shared" si="14"/>
        <v>335.47699999999998</v>
      </c>
      <c r="L34" s="200">
        <v>335477</v>
      </c>
      <c r="M34" s="196">
        <f t="shared" si="3"/>
        <v>0</v>
      </c>
      <c r="N34" s="33"/>
      <c r="O34" s="43">
        <f>P34/1000*-1</f>
        <v>-247.5</v>
      </c>
      <c r="P34" s="191">
        <f t="shared" si="4"/>
        <v>247500</v>
      </c>
      <c r="Q34" s="230"/>
      <c r="R34" s="43">
        <f>S34/1000*-1</f>
        <v>-247.5</v>
      </c>
      <c r="S34" s="200">
        <v>247500</v>
      </c>
      <c r="T34" s="36"/>
      <c r="U34" s="227">
        <f t="shared" si="5"/>
        <v>53463.687774043858</v>
      </c>
      <c r="V34" s="36">
        <f t="shared" si="15"/>
        <v>53.463687774043855</v>
      </c>
      <c r="W34" s="36">
        <f t="shared" si="16"/>
        <v>87.976999999999975</v>
      </c>
      <c r="X34" s="230">
        <f t="shared" si="17"/>
        <v>0</v>
      </c>
      <c r="Y34" s="43">
        <f>K34+R34</f>
        <v>87.976999999999975</v>
      </c>
      <c r="Z34" s="47"/>
      <c r="AA34" s="47"/>
    </row>
    <row r="35" spans="1:38" ht="9" customHeight="1" x14ac:dyDescent="0.15">
      <c r="A35" s="147"/>
      <c r="B35" s="212"/>
      <c r="C35" s="140"/>
      <c r="D35" s="41">
        <f t="shared" si="13"/>
        <v>0</v>
      </c>
      <c r="E35" s="198"/>
      <c r="F35" s="196">
        <f t="shared" si="1"/>
        <v>0</v>
      </c>
      <c r="G35" s="191">
        <f t="shared" si="2"/>
        <v>0</v>
      </c>
      <c r="H35" s="33"/>
      <c r="I35" s="198"/>
      <c r="J35" s="231"/>
      <c r="K35" s="43"/>
      <c r="L35" s="198"/>
      <c r="M35" s="196"/>
      <c r="N35" s="36"/>
      <c r="O35" s="43"/>
      <c r="P35" s="191">
        <f t="shared" si="4"/>
        <v>0</v>
      </c>
      <c r="Q35" s="230"/>
      <c r="R35" s="43"/>
      <c r="S35" s="198"/>
      <c r="T35" s="33"/>
      <c r="U35" s="210">
        <f t="shared" si="5"/>
        <v>0</v>
      </c>
      <c r="V35" s="36"/>
      <c r="W35" s="36"/>
      <c r="X35" s="230"/>
      <c r="Y35" s="41"/>
      <c r="Z35" s="47"/>
      <c r="AA35" s="47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</row>
    <row r="36" spans="1:38" s="179" customFormat="1" x14ac:dyDescent="0.15">
      <c r="A36" s="168" t="s">
        <v>48</v>
      </c>
      <c r="B36" s="216">
        <f>B37+B47+B52+B58+B66+B69+B88+B74</f>
        <v>20.11</v>
      </c>
      <c r="C36" s="170">
        <f t="shared" ref="C36:C92" si="18">D36/1000</f>
        <v>16533.329821360217</v>
      </c>
      <c r="D36" s="41">
        <f t="shared" si="13"/>
        <v>16533329.821360219</v>
      </c>
      <c r="E36" s="191">
        <f>E37+E47+E52+E58+E66+E69+E88+E74</f>
        <v>5781782.21</v>
      </c>
      <c r="F36" s="191">
        <f t="shared" si="1"/>
        <v>17314.678250000001</v>
      </c>
      <c r="G36" s="191">
        <f t="shared" si="2"/>
        <v>17314678.25</v>
      </c>
      <c r="H36" s="171">
        <f>H37+H47+H52+H58+H66+H69+H74+H88</f>
        <v>4134.54</v>
      </c>
      <c r="I36" s="191">
        <f>I37+I47+I52+I58+I66+I69+I88+I74</f>
        <v>6648435</v>
      </c>
      <c r="J36" s="191">
        <f>J37+J47+J52+J58+J66+J69+J74+J88</f>
        <v>0</v>
      </c>
      <c r="K36" s="191">
        <f t="shared" si="14"/>
        <v>17314.678250000001</v>
      </c>
      <c r="L36" s="191">
        <f>L37+L47+L52+L58+L66+L69+L88+L74</f>
        <v>17314678.25</v>
      </c>
      <c r="M36" s="191">
        <f t="shared" si="3"/>
        <v>-3974.8350399999999</v>
      </c>
      <c r="N36" s="171">
        <f>N37+N44+N47+N52+N58+N66+N69+N88+N74</f>
        <v>0</v>
      </c>
      <c r="O36" s="171">
        <f t="shared" ref="O36:O99" si="19">P36/1000*-1</f>
        <v>-6186.0590000000002</v>
      </c>
      <c r="P36" s="191">
        <f t="shared" si="4"/>
        <v>6186059</v>
      </c>
      <c r="Q36" s="191">
        <f>Q37+Q47+Q52+Q58+Q69+Q74+Q88</f>
        <v>0</v>
      </c>
      <c r="R36" s="171">
        <f t="shared" ref="R36:R92" si="20">S36/1000*-1</f>
        <v>-6186.0590000000002</v>
      </c>
      <c r="S36" s="191">
        <f>S37+S47+S52+S58+S66+S69+S88+S74</f>
        <v>6186059</v>
      </c>
      <c r="T36" s="176">
        <f>T37+T47+T52+T58+T66+T69+T74+T88</f>
        <v>3974835.04</v>
      </c>
      <c r="U36" s="210">
        <f t="shared" si="5"/>
        <v>10751547.611360218</v>
      </c>
      <c r="V36" s="173">
        <f t="shared" ref="V36:V92" si="21">C36+M36</f>
        <v>12558.494781360218</v>
      </c>
      <c r="W36" s="173">
        <f t="shared" ref="W36:W65" si="22">F36+O36</f>
        <v>11128.61925</v>
      </c>
      <c r="X36" s="198">
        <f t="shared" ref="X36:Y72" si="23">J36+Q36</f>
        <v>0</v>
      </c>
      <c r="Y36" s="171">
        <f t="shared" si="23"/>
        <v>11128.61925</v>
      </c>
      <c r="Z36" s="174"/>
      <c r="AA36" s="174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s="117" customFormat="1" ht="9.9499999999999993" customHeight="1" x14ac:dyDescent="0.15">
      <c r="A37" s="142" t="s">
        <v>162</v>
      </c>
      <c r="B37" s="212">
        <f>SUM(B38:B44)</f>
        <v>4.8500000000000005</v>
      </c>
      <c r="C37" s="140">
        <f t="shared" si="18"/>
        <v>3589.2715870411275</v>
      </c>
      <c r="D37" s="41">
        <f t="shared" si="13"/>
        <v>3589271.5870411275</v>
      </c>
      <c r="E37" s="198">
        <f>SUM(E38:E44)</f>
        <v>996282.73</v>
      </c>
      <c r="F37" s="195">
        <f t="shared" si="1"/>
        <v>2814.3609999999999</v>
      </c>
      <c r="G37" s="191">
        <f t="shared" si="2"/>
        <v>2814361</v>
      </c>
      <c r="H37" s="33">
        <f>SUM(H38:H44)</f>
        <v>4134.54</v>
      </c>
      <c r="I37" s="241">
        <f>SUM(I38:I44)</f>
        <v>245000</v>
      </c>
      <c r="J37" s="231">
        <f>SUM(J38:J44)</f>
        <v>0</v>
      </c>
      <c r="K37" s="41">
        <f t="shared" si="14"/>
        <v>2814.3609999999999</v>
      </c>
      <c r="L37" s="198">
        <f>SUM(L38:L44)</f>
        <v>2814361</v>
      </c>
      <c r="M37" s="195">
        <f t="shared" si="3"/>
        <v>-142.36949999999999</v>
      </c>
      <c r="N37" s="33"/>
      <c r="O37" s="41">
        <f t="shared" si="19"/>
        <v>-100</v>
      </c>
      <c r="P37" s="191">
        <f t="shared" si="4"/>
        <v>100000</v>
      </c>
      <c r="Q37" s="231">
        <f>SUM(Q38:Q44)</f>
        <v>0</v>
      </c>
      <c r="R37" s="41">
        <f t="shared" si="20"/>
        <v>-100</v>
      </c>
      <c r="S37" s="198">
        <f>SUM(S38:S46)</f>
        <v>100000</v>
      </c>
      <c r="T37" s="33">
        <f>SUM(T38:T44)</f>
        <v>142369.5</v>
      </c>
      <c r="U37" s="210">
        <f t="shared" si="5"/>
        <v>2592988.8570411275</v>
      </c>
      <c r="V37" s="33">
        <f t="shared" si="21"/>
        <v>3446.9020870411277</v>
      </c>
      <c r="W37" s="33">
        <f t="shared" si="22"/>
        <v>2714.3609999999999</v>
      </c>
      <c r="X37" s="231">
        <f t="shared" si="23"/>
        <v>0</v>
      </c>
      <c r="Y37" s="41">
        <f t="shared" si="23"/>
        <v>2714.3609999999999</v>
      </c>
      <c r="Z37" s="47"/>
      <c r="AA37" s="47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</row>
    <row r="38" spans="1:38" s="117" customFormat="1" ht="9.9499999999999993" customHeight="1" x14ac:dyDescent="0.15">
      <c r="A38" s="144" t="s">
        <v>163</v>
      </c>
      <c r="B38" s="215">
        <v>1.25</v>
      </c>
      <c r="C38" s="145">
        <f t="shared" si="18"/>
        <v>788.84079717554812</v>
      </c>
      <c r="D38" s="41">
        <f t="shared" si="13"/>
        <v>788840.79717554816</v>
      </c>
      <c r="E38" s="200">
        <v>120544.7</v>
      </c>
      <c r="F38" s="196">
        <f t="shared" si="1"/>
        <v>667.20600000000002</v>
      </c>
      <c r="G38" s="191">
        <f t="shared" si="2"/>
        <v>667206</v>
      </c>
      <c r="H38" s="33"/>
      <c r="I38" s="200">
        <v>5000</v>
      </c>
      <c r="J38" s="230"/>
      <c r="K38" s="43">
        <f t="shared" si="14"/>
        <v>667.20600000000002</v>
      </c>
      <c r="L38" s="200">
        <v>667206</v>
      </c>
      <c r="M38" s="196">
        <f t="shared" si="3"/>
        <v>-117</v>
      </c>
      <c r="N38" s="36"/>
      <c r="O38" s="43">
        <f t="shared" si="19"/>
        <v>0</v>
      </c>
      <c r="P38" s="191">
        <f t="shared" si="4"/>
        <v>0</v>
      </c>
      <c r="Q38" s="230">
        <v>0</v>
      </c>
      <c r="R38" s="43">
        <f t="shared" si="20"/>
        <v>0</v>
      </c>
      <c r="S38" s="200"/>
      <c r="T38" s="36">
        <v>117000</v>
      </c>
      <c r="U38" s="210">
        <f t="shared" si="5"/>
        <v>668296.0971755482</v>
      </c>
      <c r="V38" s="36">
        <f t="shared" si="21"/>
        <v>671.84079717554812</v>
      </c>
      <c r="W38" s="36">
        <f t="shared" si="22"/>
        <v>667.20600000000002</v>
      </c>
      <c r="X38" s="230">
        <f t="shared" si="23"/>
        <v>0</v>
      </c>
      <c r="Y38" s="43">
        <f t="shared" si="23"/>
        <v>667.20600000000002</v>
      </c>
      <c r="Z38" s="47"/>
      <c r="AA38" s="47"/>
    </row>
    <row r="39" spans="1:38" s="117" customFormat="1" ht="9.9499999999999993" customHeight="1" x14ac:dyDescent="0.15">
      <c r="A39" s="144" t="s">
        <v>164</v>
      </c>
      <c r="B39" s="215">
        <v>0.25</v>
      </c>
      <c r="C39" s="145">
        <f t="shared" si="18"/>
        <v>168.85227943510964</v>
      </c>
      <c r="D39" s="41">
        <f t="shared" si="13"/>
        <v>168852.27943510964</v>
      </c>
      <c r="E39" s="200">
        <f>18376.56+16816.5</f>
        <v>35193.06</v>
      </c>
      <c r="F39" s="196">
        <f t="shared" si="1"/>
        <v>185.41800000000001</v>
      </c>
      <c r="G39" s="191">
        <f t="shared" si="2"/>
        <v>185418</v>
      </c>
      <c r="H39" s="33"/>
      <c r="I39" s="200"/>
      <c r="J39" s="230"/>
      <c r="K39" s="43">
        <f t="shared" si="14"/>
        <v>185.41800000000001</v>
      </c>
      <c r="L39" s="200">
        <v>185418</v>
      </c>
      <c r="M39" s="196">
        <f t="shared" si="3"/>
        <v>-3</v>
      </c>
      <c r="N39" s="36"/>
      <c r="O39" s="43">
        <f t="shared" si="19"/>
        <v>0</v>
      </c>
      <c r="P39" s="191">
        <f t="shared" si="4"/>
        <v>0</v>
      </c>
      <c r="Q39" s="230">
        <v>0</v>
      </c>
      <c r="R39" s="43">
        <f t="shared" si="20"/>
        <v>0</v>
      </c>
      <c r="S39" s="200"/>
      <c r="T39" s="36">
        <v>3000</v>
      </c>
      <c r="U39" s="210">
        <f t="shared" si="5"/>
        <v>133659.21943510964</v>
      </c>
      <c r="V39" s="36">
        <f t="shared" si="21"/>
        <v>165.85227943510964</v>
      </c>
      <c r="W39" s="36">
        <f t="shared" si="22"/>
        <v>185.41800000000001</v>
      </c>
      <c r="X39" s="230">
        <f t="shared" si="23"/>
        <v>0</v>
      </c>
      <c r="Y39" s="43">
        <f t="shared" si="23"/>
        <v>185.41800000000001</v>
      </c>
      <c r="Z39" s="47"/>
      <c r="AA39" s="47"/>
    </row>
    <row r="40" spans="1:38" s="117" customFormat="1" ht="9.9499999999999993" customHeight="1" x14ac:dyDescent="0.15">
      <c r="A40" s="144" t="s">
        <v>165</v>
      </c>
      <c r="B40" s="215">
        <v>0.25</v>
      </c>
      <c r="C40" s="145">
        <f t="shared" si="18"/>
        <v>183.76264943510964</v>
      </c>
      <c r="D40" s="41">
        <f t="shared" si="13"/>
        <v>183762.64943510963</v>
      </c>
      <c r="E40" s="200">
        <f>33287.19+16816.24</f>
        <v>50103.430000000008</v>
      </c>
      <c r="F40" s="196">
        <f t="shared" si="1"/>
        <v>89.465000000000003</v>
      </c>
      <c r="G40" s="191">
        <f t="shared" si="2"/>
        <v>89465</v>
      </c>
      <c r="H40" s="33">
        <f>4134.54</f>
        <v>4134.54</v>
      </c>
      <c r="I40" s="200">
        <v>10000</v>
      </c>
      <c r="J40" s="230"/>
      <c r="K40" s="43">
        <f t="shared" si="14"/>
        <v>89.465000000000003</v>
      </c>
      <c r="L40" s="200">
        <v>89465</v>
      </c>
      <c r="M40" s="196">
        <f t="shared" si="3"/>
        <v>0</v>
      </c>
      <c r="N40" s="36"/>
      <c r="O40" s="43">
        <f t="shared" si="19"/>
        <v>0</v>
      </c>
      <c r="P40" s="191">
        <f t="shared" si="4"/>
        <v>0</v>
      </c>
      <c r="Q40" s="230">
        <v>0</v>
      </c>
      <c r="R40" s="43">
        <f t="shared" si="20"/>
        <v>0</v>
      </c>
      <c r="S40" s="200"/>
      <c r="T40" s="36"/>
      <c r="U40" s="210">
        <f t="shared" si="5"/>
        <v>133659.21943510964</v>
      </c>
      <c r="V40" s="36">
        <f t="shared" si="21"/>
        <v>183.76264943510964</v>
      </c>
      <c r="W40" s="36">
        <f t="shared" si="22"/>
        <v>89.465000000000003</v>
      </c>
      <c r="X40" s="230">
        <f t="shared" si="23"/>
        <v>0</v>
      </c>
      <c r="Y40" s="43">
        <f t="shared" si="23"/>
        <v>89.465000000000003</v>
      </c>
      <c r="Z40" s="47"/>
      <c r="AA40" s="47"/>
    </row>
    <row r="41" spans="1:38" s="117" customFormat="1" ht="9.9499999999999993" customHeight="1" x14ac:dyDescent="0.15">
      <c r="A41" s="144" t="s">
        <v>166</v>
      </c>
      <c r="B41" s="215">
        <v>0.5</v>
      </c>
      <c r="C41" s="145">
        <f t="shared" si="18"/>
        <v>541.76291887021921</v>
      </c>
      <c r="D41" s="41">
        <f t="shared" si="13"/>
        <v>541762.91887021926</v>
      </c>
      <c r="E41" s="200">
        <v>274444.48</v>
      </c>
      <c r="F41" s="196">
        <f t="shared" si="1"/>
        <v>264.88299999999998</v>
      </c>
      <c r="G41" s="191">
        <f t="shared" si="2"/>
        <v>264883</v>
      </c>
      <c r="H41" s="33"/>
      <c r="I41" s="200"/>
      <c r="J41" s="230"/>
      <c r="K41" s="43">
        <f t="shared" si="14"/>
        <v>264.88299999999998</v>
      </c>
      <c r="L41" s="200">
        <v>264883</v>
      </c>
      <c r="M41" s="196">
        <f t="shared" si="3"/>
        <v>0</v>
      </c>
      <c r="N41" s="36"/>
      <c r="O41" s="43">
        <f t="shared" si="19"/>
        <v>0</v>
      </c>
      <c r="P41" s="191">
        <f t="shared" si="4"/>
        <v>0</v>
      </c>
      <c r="Q41" s="230">
        <v>0</v>
      </c>
      <c r="R41" s="43">
        <f t="shared" si="20"/>
        <v>0</v>
      </c>
      <c r="S41" s="200"/>
      <c r="T41" s="36"/>
      <c r="U41" s="210">
        <f t="shared" si="5"/>
        <v>267318.43887021928</v>
      </c>
      <c r="V41" s="36">
        <f t="shared" si="21"/>
        <v>541.76291887021921</v>
      </c>
      <c r="W41" s="36">
        <f t="shared" si="22"/>
        <v>264.88299999999998</v>
      </c>
      <c r="X41" s="230">
        <f t="shared" si="23"/>
        <v>0</v>
      </c>
      <c r="Y41" s="43">
        <f t="shared" si="23"/>
        <v>264.88299999999998</v>
      </c>
      <c r="Z41" s="47"/>
      <c r="AA41" s="47"/>
    </row>
    <row r="42" spans="1:38" s="117" customFormat="1" ht="9.9499999999999993" customHeight="1" x14ac:dyDescent="0.15">
      <c r="A42" s="144" t="s">
        <v>167</v>
      </c>
      <c r="B42" s="215">
        <v>0.45</v>
      </c>
      <c r="C42" s="145">
        <f t="shared" si="18"/>
        <v>381.07183498319739</v>
      </c>
      <c r="D42" s="41">
        <f t="shared" si="13"/>
        <v>381071.83498319739</v>
      </c>
      <c r="E42" s="200">
        <f>131733.77+8751.47</f>
        <v>140485.24</v>
      </c>
      <c r="F42" s="196">
        <f t="shared" si="1"/>
        <v>238.39400000000001</v>
      </c>
      <c r="G42" s="191">
        <f t="shared" si="2"/>
        <v>238394</v>
      </c>
      <c r="H42" s="33"/>
      <c r="I42" s="200">
        <v>0</v>
      </c>
      <c r="J42" s="230"/>
      <c r="K42" s="43">
        <f t="shared" si="14"/>
        <v>238.39400000000001</v>
      </c>
      <c r="L42" s="200">
        <v>238394</v>
      </c>
      <c r="M42" s="196">
        <f t="shared" si="3"/>
        <v>-4.375</v>
      </c>
      <c r="N42" s="36"/>
      <c r="O42" s="43"/>
      <c r="P42" s="191">
        <f t="shared" si="4"/>
        <v>0</v>
      </c>
      <c r="Q42" s="230"/>
      <c r="R42" s="43">
        <f t="shared" si="20"/>
        <v>0</v>
      </c>
      <c r="S42" s="200"/>
      <c r="T42" s="36">
        <v>4375</v>
      </c>
      <c r="U42" s="210">
        <f t="shared" si="5"/>
        <v>240586.59498319737</v>
      </c>
      <c r="V42" s="36">
        <f t="shared" si="21"/>
        <v>376.69683498319739</v>
      </c>
      <c r="W42" s="36">
        <f t="shared" si="22"/>
        <v>238.39400000000001</v>
      </c>
      <c r="X42" s="230">
        <f t="shared" si="23"/>
        <v>0</v>
      </c>
      <c r="Y42" s="43">
        <f t="shared" si="23"/>
        <v>238.39400000000001</v>
      </c>
      <c r="Z42" s="47"/>
      <c r="AA42" s="47"/>
    </row>
    <row r="43" spans="1:38" s="117" customFormat="1" ht="8.25" customHeight="1" x14ac:dyDescent="0.15">
      <c r="A43" s="144" t="s">
        <v>168</v>
      </c>
      <c r="B43" s="215">
        <v>0.35</v>
      </c>
      <c r="C43" s="145">
        <f t="shared" si="18"/>
        <v>187.12290720915348</v>
      </c>
      <c r="D43" s="41">
        <f t="shared" si="13"/>
        <v>187122.90720915349</v>
      </c>
      <c r="E43" s="200"/>
      <c r="F43" s="196">
        <f t="shared" si="1"/>
        <v>285.41800000000001</v>
      </c>
      <c r="G43" s="191">
        <f t="shared" si="2"/>
        <v>285418</v>
      </c>
      <c r="H43" s="33"/>
      <c r="I43" s="200">
        <v>100000</v>
      </c>
      <c r="J43" s="230"/>
      <c r="K43" s="43">
        <f t="shared" si="14"/>
        <v>285.41800000000001</v>
      </c>
      <c r="L43" s="200">
        <v>285418</v>
      </c>
      <c r="M43" s="196">
        <f t="shared" si="3"/>
        <v>0</v>
      </c>
      <c r="N43" s="36"/>
      <c r="O43" s="43">
        <f t="shared" si="19"/>
        <v>0</v>
      </c>
      <c r="P43" s="191">
        <f t="shared" si="4"/>
        <v>0</v>
      </c>
      <c r="Q43" s="230">
        <v>0</v>
      </c>
      <c r="R43" s="43">
        <f t="shared" si="20"/>
        <v>0</v>
      </c>
      <c r="S43" s="200"/>
      <c r="T43" s="36"/>
      <c r="U43" s="210">
        <f t="shared" si="5"/>
        <v>187122.90720915349</v>
      </c>
      <c r="V43" s="36">
        <f t="shared" si="21"/>
        <v>187.12290720915348</v>
      </c>
      <c r="W43" s="36">
        <f t="shared" si="22"/>
        <v>285.41800000000001</v>
      </c>
      <c r="X43" s="230">
        <f t="shared" si="23"/>
        <v>0</v>
      </c>
      <c r="Y43" s="43">
        <f t="shared" si="23"/>
        <v>285.41800000000001</v>
      </c>
      <c r="Z43" s="47"/>
      <c r="AA43" s="47"/>
    </row>
    <row r="44" spans="1:38" s="118" customFormat="1" ht="9.9499999999999993" customHeight="1" x14ac:dyDescent="0.15">
      <c r="A44" s="144" t="s">
        <v>169</v>
      </c>
      <c r="B44" s="215">
        <v>1.8</v>
      </c>
      <c r="C44" s="145">
        <f t="shared" si="18"/>
        <v>1337.8581999327894</v>
      </c>
      <c r="D44" s="41">
        <f t="shared" si="13"/>
        <v>1337858.1999327894</v>
      </c>
      <c r="E44" s="200">
        <f>133883.54+217517.38+24110.9</f>
        <v>375511.82000000007</v>
      </c>
      <c r="F44" s="196">
        <f t="shared" si="1"/>
        <v>1083.577</v>
      </c>
      <c r="G44" s="191">
        <f t="shared" si="2"/>
        <v>1083577</v>
      </c>
      <c r="H44" s="33"/>
      <c r="I44" s="200">
        <v>130000</v>
      </c>
      <c r="J44" s="230"/>
      <c r="K44" s="43">
        <f t="shared" si="14"/>
        <v>1083.577</v>
      </c>
      <c r="L44" s="200">
        <v>1083577</v>
      </c>
      <c r="M44" s="196">
        <f t="shared" si="3"/>
        <v>-17.994499999999999</v>
      </c>
      <c r="N44" s="33">
        <f>N45+N46</f>
        <v>0</v>
      </c>
      <c r="O44" s="43">
        <f t="shared" si="19"/>
        <v>-100</v>
      </c>
      <c r="P44" s="191">
        <f t="shared" si="4"/>
        <v>100000</v>
      </c>
      <c r="Q44" s="230"/>
      <c r="R44" s="43">
        <f t="shared" si="20"/>
        <v>-100</v>
      </c>
      <c r="S44" s="200">
        <v>100000</v>
      </c>
      <c r="T44" s="36">
        <v>17994.5</v>
      </c>
      <c r="U44" s="227">
        <f t="shared" si="5"/>
        <v>962346.37993278948</v>
      </c>
      <c r="V44" s="36">
        <f t="shared" si="21"/>
        <v>1319.8636999327894</v>
      </c>
      <c r="W44" s="36">
        <f t="shared" si="22"/>
        <v>983.577</v>
      </c>
      <c r="X44" s="230">
        <f t="shared" si="23"/>
        <v>0</v>
      </c>
      <c r="Y44" s="43">
        <f t="shared" si="23"/>
        <v>983.577</v>
      </c>
      <c r="Z44" s="47"/>
      <c r="AA44" s="47"/>
    </row>
    <row r="45" spans="1:38" s="117" customFormat="1" ht="9" hidden="1" customHeight="1" x14ac:dyDescent="0.15">
      <c r="A45" s="144"/>
      <c r="B45" s="215"/>
      <c r="C45" s="145">
        <f t="shared" si="18"/>
        <v>0</v>
      </c>
      <c r="D45" s="41">
        <f t="shared" si="13"/>
        <v>0</v>
      </c>
      <c r="E45" s="200"/>
      <c r="F45" s="195">
        <f t="shared" si="1"/>
        <v>0</v>
      </c>
      <c r="G45" s="191">
        <f t="shared" si="2"/>
        <v>0</v>
      </c>
      <c r="H45" s="33"/>
      <c r="I45" s="200"/>
      <c r="J45" s="230"/>
      <c r="K45" s="41">
        <f t="shared" si="14"/>
        <v>0</v>
      </c>
      <c r="L45" s="200"/>
      <c r="M45" s="195">
        <f t="shared" si="3"/>
        <v>0</v>
      </c>
      <c r="N45" s="36"/>
      <c r="O45" s="43">
        <f t="shared" si="19"/>
        <v>0</v>
      </c>
      <c r="P45" s="191">
        <f t="shared" si="4"/>
        <v>0</v>
      </c>
      <c r="Q45" s="230">
        <v>0</v>
      </c>
      <c r="R45" s="43">
        <f t="shared" si="20"/>
        <v>0</v>
      </c>
      <c r="S45" s="200"/>
      <c r="T45" s="36"/>
      <c r="U45" s="210">
        <f t="shared" si="5"/>
        <v>0</v>
      </c>
      <c r="V45" s="36">
        <f t="shared" si="21"/>
        <v>0</v>
      </c>
      <c r="W45" s="36">
        <f t="shared" si="22"/>
        <v>0</v>
      </c>
      <c r="X45" s="230">
        <f t="shared" si="23"/>
        <v>0</v>
      </c>
      <c r="Y45" s="43">
        <f t="shared" si="23"/>
        <v>0</v>
      </c>
      <c r="Z45" s="47"/>
      <c r="AA45" s="47"/>
    </row>
    <row r="46" spans="1:38" s="117" customFormat="1" ht="9.9499999999999993" hidden="1" customHeight="1" x14ac:dyDescent="0.15">
      <c r="A46" s="144"/>
      <c r="B46" s="215"/>
      <c r="C46" s="145">
        <f t="shared" si="18"/>
        <v>0</v>
      </c>
      <c r="D46" s="41">
        <f t="shared" si="13"/>
        <v>0</v>
      </c>
      <c r="E46" s="200"/>
      <c r="F46" s="195">
        <f t="shared" si="1"/>
        <v>0</v>
      </c>
      <c r="G46" s="191">
        <f t="shared" si="2"/>
        <v>0</v>
      </c>
      <c r="H46" s="33"/>
      <c r="I46" s="200"/>
      <c r="J46" s="230"/>
      <c r="K46" s="41">
        <f t="shared" si="14"/>
        <v>0</v>
      </c>
      <c r="L46" s="200"/>
      <c r="M46" s="195">
        <f t="shared" si="3"/>
        <v>0</v>
      </c>
      <c r="N46" s="36"/>
      <c r="O46" s="43">
        <f t="shared" si="19"/>
        <v>0</v>
      </c>
      <c r="P46" s="191">
        <f t="shared" si="4"/>
        <v>0</v>
      </c>
      <c r="Q46" s="230">
        <v>0</v>
      </c>
      <c r="R46" s="43">
        <f t="shared" si="20"/>
        <v>0</v>
      </c>
      <c r="S46" s="200"/>
      <c r="T46" s="36"/>
      <c r="U46" s="210">
        <f t="shared" si="5"/>
        <v>0</v>
      </c>
      <c r="V46" s="36">
        <f t="shared" si="21"/>
        <v>0</v>
      </c>
      <c r="W46" s="36">
        <f t="shared" si="22"/>
        <v>0</v>
      </c>
      <c r="X46" s="230">
        <f t="shared" si="23"/>
        <v>0</v>
      </c>
      <c r="Y46" s="43">
        <f t="shared" si="23"/>
        <v>0</v>
      </c>
      <c r="Z46" s="47"/>
      <c r="AA46" s="47"/>
    </row>
    <row r="47" spans="1:38" s="118" customFormat="1" ht="9.9499999999999993" customHeight="1" x14ac:dyDescent="0.15">
      <c r="A47" s="142" t="s">
        <v>170</v>
      </c>
      <c r="B47" s="212">
        <f>SUM(B48:B51)</f>
        <v>1.9000000000000001</v>
      </c>
      <c r="C47" s="140">
        <f t="shared" si="18"/>
        <v>1627.5069177068333</v>
      </c>
      <c r="D47" s="41">
        <f t="shared" si="13"/>
        <v>1627506.9177068332</v>
      </c>
      <c r="E47" s="198">
        <f>SUM(E48:E51)</f>
        <v>611696.85</v>
      </c>
      <c r="F47" s="195">
        <f t="shared" si="1"/>
        <v>1131.5540000000001</v>
      </c>
      <c r="G47" s="191">
        <f t="shared" si="2"/>
        <v>1131554</v>
      </c>
      <c r="H47" s="33"/>
      <c r="I47" s="198">
        <f>I48+I49+I50+I51</f>
        <v>125000</v>
      </c>
      <c r="J47" s="231">
        <f>SUM(J48:J49)</f>
        <v>0</v>
      </c>
      <c r="K47" s="41">
        <f t="shared" si="14"/>
        <v>1131.5540000000001</v>
      </c>
      <c r="L47" s="198">
        <f>SUM(L48:L51)</f>
        <v>1131554</v>
      </c>
      <c r="M47" s="195">
        <f t="shared" si="3"/>
        <v>-213.94170000000003</v>
      </c>
      <c r="N47" s="33">
        <f>N49+N48+N50+N51</f>
        <v>0</v>
      </c>
      <c r="O47" s="41">
        <f t="shared" si="19"/>
        <v>0</v>
      </c>
      <c r="P47" s="191">
        <f t="shared" si="4"/>
        <v>0</v>
      </c>
      <c r="Q47" s="231">
        <f>SUM(Q48:Q49)</f>
        <v>0</v>
      </c>
      <c r="R47" s="41">
        <f t="shared" si="20"/>
        <v>0</v>
      </c>
      <c r="S47" s="198">
        <f>SUM(S48:S51)</f>
        <v>0</v>
      </c>
      <c r="T47" s="33">
        <f>SUM(T48:T51)</f>
        <v>213941.7</v>
      </c>
      <c r="U47" s="210">
        <f t="shared" si="5"/>
        <v>1015810.0677068334</v>
      </c>
      <c r="V47" s="33">
        <f t="shared" si="21"/>
        <v>1413.5652177068332</v>
      </c>
      <c r="W47" s="33">
        <f t="shared" si="22"/>
        <v>1131.5540000000001</v>
      </c>
      <c r="X47" s="231">
        <f t="shared" si="23"/>
        <v>0</v>
      </c>
      <c r="Y47" s="41">
        <f t="shared" si="23"/>
        <v>1131.5540000000001</v>
      </c>
      <c r="Z47" s="47"/>
      <c r="AA47" s="47"/>
    </row>
    <row r="48" spans="1:38" s="117" customFormat="1" ht="9.9499999999999993" customHeight="1" x14ac:dyDescent="0.15">
      <c r="A48" s="144" t="s">
        <v>171</v>
      </c>
      <c r="B48" s="215">
        <v>1.1000000000000001</v>
      </c>
      <c r="C48" s="145">
        <f t="shared" si="18"/>
        <v>651.05674551448249</v>
      </c>
      <c r="D48" s="41">
        <f t="shared" si="13"/>
        <v>651056.74551448249</v>
      </c>
      <c r="E48" s="200">
        <v>62956.18</v>
      </c>
      <c r="F48" s="196">
        <f t="shared" si="1"/>
        <v>697.74199999999996</v>
      </c>
      <c r="G48" s="191">
        <f t="shared" si="2"/>
        <v>697742</v>
      </c>
      <c r="H48" s="33"/>
      <c r="I48" s="200">
        <v>115000</v>
      </c>
      <c r="J48" s="230"/>
      <c r="K48" s="43">
        <f t="shared" si="14"/>
        <v>697.74199999999996</v>
      </c>
      <c r="L48" s="200">
        <v>697742</v>
      </c>
      <c r="M48" s="196">
        <f t="shared" si="3"/>
        <v>-5.2649999999999997</v>
      </c>
      <c r="N48" s="36"/>
      <c r="O48" s="43">
        <f t="shared" si="19"/>
        <v>0</v>
      </c>
      <c r="P48" s="191">
        <f t="shared" si="4"/>
        <v>0</v>
      </c>
      <c r="Q48" s="230">
        <v>0</v>
      </c>
      <c r="R48" s="43">
        <f t="shared" si="20"/>
        <v>0</v>
      </c>
      <c r="S48" s="200"/>
      <c r="T48" s="36">
        <v>5265</v>
      </c>
      <c r="U48" s="210">
        <f t="shared" si="5"/>
        <v>588100.56551448244</v>
      </c>
      <c r="V48" s="36">
        <f t="shared" si="21"/>
        <v>645.7917455144825</v>
      </c>
      <c r="W48" s="36">
        <f t="shared" si="22"/>
        <v>697.74199999999996</v>
      </c>
      <c r="X48" s="230">
        <f t="shared" si="23"/>
        <v>0</v>
      </c>
      <c r="Y48" s="43">
        <f t="shared" si="23"/>
        <v>697.74199999999996</v>
      </c>
      <c r="Z48" s="47"/>
      <c r="AA48" s="47"/>
    </row>
    <row r="49" spans="1:27" s="117" customFormat="1" ht="9.9499999999999993" customHeight="1" x14ac:dyDescent="0.15">
      <c r="A49" s="144" t="s">
        <v>172</v>
      </c>
      <c r="B49" s="215">
        <v>0.8</v>
      </c>
      <c r="C49" s="145">
        <f t="shared" si="18"/>
        <v>976.45017219235069</v>
      </c>
      <c r="D49" s="41">
        <f t="shared" si="13"/>
        <v>976450.17219235073</v>
      </c>
      <c r="E49" s="200">
        <f>119498.35+265745.88+163496.44</f>
        <v>548740.66999999993</v>
      </c>
      <c r="F49" s="196">
        <f t="shared" si="1"/>
        <v>433.81200000000001</v>
      </c>
      <c r="G49" s="191">
        <f t="shared" si="2"/>
        <v>433812</v>
      </c>
      <c r="H49" s="33"/>
      <c r="I49" s="200">
        <v>10000</v>
      </c>
      <c r="J49" s="230"/>
      <c r="K49" s="43">
        <f t="shared" si="14"/>
        <v>433.81200000000001</v>
      </c>
      <c r="L49" s="200">
        <v>433812</v>
      </c>
      <c r="M49" s="196">
        <f t="shared" si="3"/>
        <v>-208.67670000000001</v>
      </c>
      <c r="N49" s="36"/>
      <c r="O49" s="43">
        <f t="shared" si="19"/>
        <v>0</v>
      </c>
      <c r="P49" s="191">
        <f t="shared" si="4"/>
        <v>0</v>
      </c>
      <c r="Q49" s="230"/>
      <c r="R49" s="43">
        <f t="shared" si="20"/>
        <v>0</v>
      </c>
      <c r="S49" s="200"/>
      <c r="T49" s="36">
        <v>208676.7</v>
      </c>
      <c r="U49" s="210">
        <f t="shared" si="5"/>
        <v>427709.50219235086</v>
      </c>
      <c r="V49" s="36">
        <f t="shared" si="21"/>
        <v>767.77347219235071</v>
      </c>
      <c r="W49" s="36">
        <f t="shared" si="22"/>
        <v>433.81200000000001</v>
      </c>
      <c r="X49" s="230">
        <f t="shared" si="23"/>
        <v>0</v>
      </c>
      <c r="Y49" s="43">
        <f t="shared" si="23"/>
        <v>433.81200000000001</v>
      </c>
      <c r="Z49" s="47"/>
      <c r="AA49" s="47"/>
    </row>
    <row r="50" spans="1:27" s="117" customFormat="1" ht="9.9499999999999993" hidden="1" customHeight="1" x14ac:dyDescent="0.15">
      <c r="A50" s="144"/>
      <c r="B50" s="215"/>
      <c r="C50" s="145">
        <f t="shared" si="18"/>
        <v>0</v>
      </c>
      <c r="D50" s="41">
        <f t="shared" si="13"/>
        <v>0</v>
      </c>
      <c r="E50" s="200"/>
      <c r="F50" s="195">
        <f t="shared" si="1"/>
        <v>0</v>
      </c>
      <c r="G50" s="191">
        <f t="shared" si="2"/>
        <v>0</v>
      </c>
      <c r="H50" s="33"/>
      <c r="I50" s="200"/>
      <c r="J50" s="230"/>
      <c r="K50" s="41">
        <f t="shared" si="14"/>
        <v>0</v>
      </c>
      <c r="L50" s="200"/>
      <c r="M50" s="195">
        <f t="shared" si="3"/>
        <v>0</v>
      </c>
      <c r="N50" s="36"/>
      <c r="O50" s="43">
        <f t="shared" si="19"/>
        <v>0</v>
      </c>
      <c r="P50" s="191">
        <f t="shared" si="4"/>
        <v>0</v>
      </c>
      <c r="Q50" s="230">
        <v>0</v>
      </c>
      <c r="R50" s="43">
        <f t="shared" si="20"/>
        <v>0</v>
      </c>
      <c r="S50" s="200"/>
      <c r="T50" s="36"/>
      <c r="U50" s="210">
        <f t="shared" si="5"/>
        <v>0</v>
      </c>
      <c r="V50" s="36">
        <f t="shared" si="21"/>
        <v>0</v>
      </c>
      <c r="W50" s="36">
        <f t="shared" si="22"/>
        <v>0</v>
      </c>
      <c r="X50" s="230">
        <f t="shared" si="23"/>
        <v>0</v>
      </c>
      <c r="Y50" s="43">
        <f t="shared" si="23"/>
        <v>0</v>
      </c>
      <c r="Z50" s="47"/>
      <c r="AA50" s="47"/>
    </row>
    <row r="51" spans="1:27" s="117" customFormat="1" ht="9.9499999999999993" hidden="1" customHeight="1" x14ac:dyDescent="0.15">
      <c r="A51" s="144"/>
      <c r="B51" s="215"/>
      <c r="C51" s="145">
        <f t="shared" si="18"/>
        <v>0</v>
      </c>
      <c r="D51" s="41">
        <f t="shared" si="13"/>
        <v>0</v>
      </c>
      <c r="E51" s="200"/>
      <c r="F51" s="195">
        <f t="shared" si="1"/>
        <v>0</v>
      </c>
      <c r="G51" s="191">
        <f t="shared" si="2"/>
        <v>0</v>
      </c>
      <c r="H51" s="33"/>
      <c r="I51" s="200"/>
      <c r="J51" s="230"/>
      <c r="K51" s="41">
        <f t="shared" si="14"/>
        <v>0</v>
      </c>
      <c r="L51" s="200"/>
      <c r="M51" s="195">
        <f t="shared" si="3"/>
        <v>0</v>
      </c>
      <c r="N51" s="36"/>
      <c r="O51" s="43">
        <f t="shared" si="19"/>
        <v>0</v>
      </c>
      <c r="P51" s="191">
        <f t="shared" si="4"/>
        <v>0</v>
      </c>
      <c r="Q51" s="230">
        <v>0</v>
      </c>
      <c r="R51" s="43">
        <f t="shared" si="20"/>
        <v>0</v>
      </c>
      <c r="S51" s="200"/>
      <c r="T51" s="36"/>
      <c r="U51" s="210">
        <f t="shared" si="5"/>
        <v>0</v>
      </c>
      <c r="V51" s="36">
        <f t="shared" si="21"/>
        <v>0</v>
      </c>
      <c r="W51" s="36">
        <f t="shared" si="22"/>
        <v>0</v>
      </c>
      <c r="X51" s="230">
        <f t="shared" si="23"/>
        <v>0</v>
      </c>
      <c r="Y51" s="43">
        <f t="shared" si="23"/>
        <v>0</v>
      </c>
      <c r="Z51" s="47"/>
      <c r="AA51" s="47"/>
    </row>
    <row r="52" spans="1:27" s="118" customFormat="1" ht="9.9499999999999993" customHeight="1" x14ac:dyDescent="0.15">
      <c r="A52" s="142" t="s">
        <v>173</v>
      </c>
      <c r="B52" s="212">
        <f>SUM(B53:B57)</f>
        <v>3.25</v>
      </c>
      <c r="C52" s="140">
        <f t="shared" si="18"/>
        <v>1949.4911626564256</v>
      </c>
      <c r="D52" s="41">
        <f t="shared" si="13"/>
        <v>1949491.1626564255</v>
      </c>
      <c r="E52" s="198">
        <f>SUM(E53:E57)</f>
        <v>211921.31</v>
      </c>
      <c r="F52" s="195">
        <f t="shared" si="1"/>
        <v>2204.4022500000001</v>
      </c>
      <c r="G52" s="191">
        <f t="shared" si="2"/>
        <v>2204402.25</v>
      </c>
      <c r="H52" s="33"/>
      <c r="I52" s="198">
        <f>I53+I54+I55+I56+I57</f>
        <v>470000</v>
      </c>
      <c r="J52" s="231">
        <f>SUM(J53:J55)</f>
        <v>0</v>
      </c>
      <c r="K52" s="41">
        <f t="shared" si="14"/>
        <v>2204.4022500000001</v>
      </c>
      <c r="L52" s="198">
        <f>SUM(L53:L57)</f>
        <v>2204402.25</v>
      </c>
      <c r="M52" s="195">
        <f t="shared" si="3"/>
        <v>-57.5</v>
      </c>
      <c r="N52" s="33">
        <f>N53+N54+N55+N56+N57</f>
        <v>0</v>
      </c>
      <c r="O52" s="41">
        <f t="shared" si="19"/>
        <v>-100</v>
      </c>
      <c r="P52" s="191">
        <f t="shared" si="4"/>
        <v>100000</v>
      </c>
      <c r="Q52" s="231">
        <f>Q53+Q54+Q55+Q57+Q56</f>
        <v>0</v>
      </c>
      <c r="R52" s="41">
        <f t="shared" si="20"/>
        <v>-100</v>
      </c>
      <c r="S52" s="198">
        <f>S54+S55+S56+S57</f>
        <v>100000</v>
      </c>
      <c r="T52" s="33">
        <f>SUM(T53:T55)</f>
        <v>57500</v>
      </c>
      <c r="U52" s="210">
        <f t="shared" si="5"/>
        <v>1737569.8526564254</v>
      </c>
      <c r="V52" s="33">
        <f t="shared" si="21"/>
        <v>1891.9911626564256</v>
      </c>
      <c r="W52" s="33">
        <f t="shared" si="22"/>
        <v>2104.4022500000001</v>
      </c>
      <c r="X52" s="231">
        <f t="shared" si="23"/>
        <v>0</v>
      </c>
      <c r="Y52" s="41">
        <f t="shared" si="23"/>
        <v>2104.4022500000001</v>
      </c>
      <c r="Z52" s="47"/>
      <c r="AA52" s="47"/>
    </row>
    <row r="53" spans="1:27" s="117" customFormat="1" ht="9.9499999999999993" customHeight="1" x14ac:dyDescent="0.15">
      <c r="A53" s="144" t="s">
        <v>174</v>
      </c>
      <c r="B53" s="215">
        <v>2.2000000000000002</v>
      </c>
      <c r="C53" s="145">
        <f t="shared" si="18"/>
        <v>1261.1475010289648</v>
      </c>
      <c r="D53" s="41">
        <f t="shared" si="13"/>
        <v>1261147.5010289648</v>
      </c>
      <c r="E53" s="200">
        <f>103688.42+1305.75-32713.05+12665.25</f>
        <v>84946.37</v>
      </c>
      <c r="F53" s="196">
        <f>G53/1000</f>
        <v>1288.68425</v>
      </c>
      <c r="G53" s="191">
        <f t="shared" si="2"/>
        <v>1288684.25</v>
      </c>
      <c r="H53" s="33"/>
      <c r="I53" s="200">
        <v>190000</v>
      </c>
      <c r="J53" s="230"/>
      <c r="K53" s="43">
        <f t="shared" si="14"/>
        <v>1288.68425</v>
      </c>
      <c r="L53" s="200">
        <f>1276019+12665.25</f>
        <v>1288684.25</v>
      </c>
      <c r="M53" s="196">
        <f t="shared" si="3"/>
        <v>0</v>
      </c>
      <c r="N53" s="36"/>
      <c r="O53" s="43">
        <f t="shared" si="19"/>
        <v>0</v>
      </c>
      <c r="P53" s="191">
        <f t="shared" si="4"/>
        <v>0</v>
      </c>
      <c r="Q53" s="230"/>
      <c r="R53" s="43">
        <f t="shared" si="20"/>
        <v>0</v>
      </c>
      <c r="S53" s="200"/>
      <c r="T53" s="36"/>
      <c r="U53" s="210">
        <f t="shared" si="5"/>
        <v>1176201.1310289649</v>
      </c>
      <c r="V53" s="36">
        <f t="shared" si="21"/>
        <v>1261.1475010289648</v>
      </c>
      <c r="W53" s="36">
        <f t="shared" si="22"/>
        <v>1288.68425</v>
      </c>
      <c r="X53" s="230">
        <f t="shared" si="23"/>
        <v>0</v>
      </c>
      <c r="Y53" s="43">
        <f t="shared" si="23"/>
        <v>1288.68425</v>
      </c>
      <c r="Z53" s="47"/>
      <c r="AA53" s="47"/>
    </row>
    <row r="54" spans="1:27" s="117" customFormat="1" ht="9.9499999999999993" customHeight="1" x14ac:dyDescent="0.15">
      <c r="A54" s="144" t="s">
        <v>175</v>
      </c>
      <c r="B54" s="215">
        <v>0.9</v>
      </c>
      <c r="C54" s="145">
        <f t="shared" si="18"/>
        <v>568.13319996639484</v>
      </c>
      <c r="D54" s="41">
        <f t="shared" si="13"/>
        <v>568133.19996639481</v>
      </c>
      <c r="E54" s="200">
        <f>12953.88+53881+20125.13</f>
        <v>86960.010000000009</v>
      </c>
      <c r="F54" s="196">
        <f t="shared" si="1"/>
        <v>603.81200000000001</v>
      </c>
      <c r="G54" s="191">
        <f t="shared" si="2"/>
        <v>603812</v>
      </c>
      <c r="H54" s="33"/>
      <c r="I54" s="200">
        <v>180000</v>
      </c>
      <c r="J54" s="230"/>
      <c r="K54" s="43">
        <f t="shared" si="14"/>
        <v>603.81200000000001</v>
      </c>
      <c r="L54" s="200">
        <v>603812</v>
      </c>
      <c r="M54" s="196">
        <f t="shared" si="3"/>
        <v>-57.5</v>
      </c>
      <c r="N54" s="36"/>
      <c r="O54" s="43">
        <f t="shared" si="19"/>
        <v>0</v>
      </c>
      <c r="P54" s="191">
        <f t="shared" si="4"/>
        <v>0</v>
      </c>
      <c r="Q54" s="230"/>
      <c r="R54" s="43">
        <f t="shared" si="20"/>
        <v>0</v>
      </c>
      <c r="S54" s="200"/>
      <c r="T54" s="36">
        <f>2500+55000</f>
        <v>57500</v>
      </c>
      <c r="U54" s="210">
        <f t="shared" si="5"/>
        <v>481173.18996639474</v>
      </c>
      <c r="V54" s="36">
        <f t="shared" si="21"/>
        <v>510.63319996639484</v>
      </c>
      <c r="W54" s="36">
        <f t="shared" si="22"/>
        <v>603.81200000000001</v>
      </c>
      <c r="X54" s="230">
        <f t="shared" si="23"/>
        <v>0</v>
      </c>
      <c r="Y54" s="43">
        <f t="shared" si="23"/>
        <v>603.81200000000001</v>
      </c>
      <c r="Z54" s="47"/>
      <c r="AA54" s="47"/>
    </row>
    <row r="55" spans="1:27" s="117" customFormat="1" ht="9.9499999999999993" customHeight="1" x14ac:dyDescent="0.15">
      <c r="A55" s="144" t="s">
        <v>176</v>
      </c>
      <c r="B55" s="215">
        <v>0.15</v>
      </c>
      <c r="C55" s="145">
        <f t="shared" si="18"/>
        <v>120.21046166106578</v>
      </c>
      <c r="D55" s="41">
        <f t="shared" si="13"/>
        <v>120210.46166106578</v>
      </c>
      <c r="E55" s="200">
        <v>40014.93</v>
      </c>
      <c r="F55" s="196">
        <f t="shared" si="1"/>
        <v>311.90600000000001</v>
      </c>
      <c r="G55" s="191">
        <f t="shared" si="2"/>
        <v>311906</v>
      </c>
      <c r="H55" s="33"/>
      <c r="I55" s="200">
        <v>100000</v>
      </c>
      <c r="J55" s="230"/>
      <c r="K55" s="43">
        <f t="shared" si="14"/>
        <v>311.90600000000001</v>
      </c>
      <c r="L55" s="200">
        <v>311906</v>
      </c>
      <c r="M55" s="196">
        <f t="shared" si="3"/>
        <v>0</v>
      </c>
      <c r="N55" s="36"/>
      <c r="O55" s="43">
        <f t="shared" si="19"/>
        <v>-100</v>
      </c>
      <c r="P55" s="191">
        <f t="shared" si="4"/>
        <v>100000</v>
      </c>
      <c r="Q55" s="230">
        <v>0</v>
      </c>
      <c r="R55" s="43">
        <f t="shared" si="20"/>
        <v>-100</v>
      </c>
      <c r="S55" s="200">
        <v>100000</v>
      </c>
      <c r="T55" s="36"/>
      <c r="U55" s="210">
        <f t="shared" si="5"/>
        <v>80195.531661065776</v>
      </c>
      <c r="V55" s="36">
        <f t="shared" si="21"/>
        <v>120.21046166106578</v>
      </c>
      <c r="W55" s="36">
        <f t="shared" si="22"/>
        <v>211.90600000000001</v>
      </c>
      <c r="X55" s="230">
        <f t="shared" si="23"/>
        <v>0</v>
      </c>
      <c r="Y55" s="43">
        <f t="shared" si="23"/>
        <v>211.90600000000001</v>
      </c>
      <c r="Z55" s="47"/>
      <c r="AA55" s="47"/>
    </row>
    <row r="56" spans="1:27" s="117" customFormat="1" ht="9.9499999999999993" hidden="1" customHeight="1" x14ac:dyDescent="0.15">
      <c r="A56" s="144"/>
      <c r="B56" s="212"/>
      <c r="C56" s="145">
        <f t="shared" si="18"/>
        <v>0</v>
      </c>
      <c r="D56" s="41">
        <f t="shared" si="13"/>
        <v>0</v>
      </c>
      <c r="E56" s="200"/>
      <c r="F56" s="195">
        <f t="shared" si="1"/>
        <v>0</v>
      </c>
      <c r="G56" s="191">
        <f t="shared" si="2"/>
        <v>0</v>
      </c>
      <c r="H56" s="33"/>
      <c r="I56" s="200"/>
      <c r="J56" s="230"/>
      <c r="K56" s="41">
        <f t="shared" si="14"/>
        <v>0</v>
      </c>
      <c r="L56" s="200"/>
      <c r="M56" s="195">
        <f t="shared" si="3"/>
        <v>0</v>
      </c>
      <c r="N56" s="36"/>
      <c r="O56" s="43">
        <f t="shared" si="19"/>
        <v>0</v>
      </c>
      <c r="P56" s="191">
        <f t="shared" si="4"/>
        <v>0</v>
      </c>
      <c r="Q56" s="230"/>
      <c r="R56" s="43">
        <f t="shared" si="20"/>
        <v>0</v>
      </c>
      <c r="S56" s="200"/>
      <c r="T56" s="36"/>
      <c r="U56" s="210">
        <f t="shared" si="5"/>
        <v>0</v>
      </c>
      <c r="V56" s="36">
        <f t="shared" si="21"/>
        <v>0</v>
      </c>
      <c r="W56" s="36">
        <f t="shared" si="22"/>
        <v>0</v>
      </c>
      <c r="X56" s="230">
        <f t="shared" si="23"/>
        <v>0</v>
      </c>
      <c r="Y56" s="43">
        <f t="shared" si="23"/>
        <v>0</v>
      </c>
      <c r="Z56" s="47"/>
      <c r="AA56" s="47"/>
    </row>
    <row r="57" spans="1:27" s="117" customFormat="1" ht="9.9499999999999993" hidden="1" customHeight="1" x14ac:dyDescent="0.15">
      <c r="A57" s="144"/>
      <c r="B57" s="212"/>
      <c r="C57" s="145">
        <f t="shared" si="18"/>
        <v>0</v>
      </c>
      <c r="D57" s="41">
        <f t="shared" si="13"/>
        <v>0</v>
      </c>
      <c r="E57" s="200"/>
      <c r="F57" s="195">
        <f t="shared" si="1"/>
        <v>0</v>
      </c>
      <c r="G57" s="191">
        <f t="shared" si="2"/>
        <v>0</v>
      </c>
      <c r="H57" s="33"/>
      <c r="I57" s="200"/>
      <c r="J57" s="230"/>
      <c r="K57" s="41">
        <f t="shared" si="14"/>
        <v>0</v>
      </c>
      <c r="L57" s="200"/>
      <c r="M57" s="195">
        <f t="shared" si="3"/>
        <v>0</v>
      </c>
      <c r="N57" s="36"/>
      <c r="O57" s="43">
        <f t="shared" si="19"/>
        <v>0</v>
      </c>
      <c r="P57" s="191">
        <f t="shared" si="4"/>
        <v>0</v>
      </c>
      <c r="Q57" s="230">
        <v>0</v>
      </c>
      <c r="R57" s="43">
        <f t="shared" si="20"/>
        <v>0</v>
      </c>
      <c r="S57" s="200"/>
      <c r="T57" s="36"/>
      <c r="U57" s="210">
        <f t="shared" si="5"/>
        <v>0</v>
      </c>
      <c r="V57" s="36">
        <f t="shared" si="21"/>
        <v>0</v>
      </c>
      <c r="W57" s="36">
        <f t="shared" si="22"/>
        <v>0</v>
      </c>
      <c r="X57" s="230">
        <f t="shared" si="23"/>
        <v>0</v>
      </c>
      <c r="Y57" s="43">
        <f t="shared" si="23"/>
        <v>0</v>
      </c>
      <c r="Z57" s="47"/>
      <c r="AA57" s="47"/>
    </row>
    <row r="58" spans="1:27" s="118" customFormat="1" ht="9.9499999999999993" customHeight="1" x14ac:dyDescent="0.15">
      <c r="A58" s="142" t="s">
        <v>177</v>
      </c>
      <c r="B58" s="212">
        <f>SUM(B59:B65)</f>
        <v>2.1999999999999997</v>
      </c>
      <c r="C58" s="140">
        <f t="shared" si="18"/>
        <v>2072.4988410289648</v>
      </c>
      <c r="D58" s="41">
        <f t="shared" si="13"/>
        <v>2072498.8410289646</v>
      </c>
      <c r="E58" s="198">
        <f>SUM(E59:E65)</f>
        <v>896297.71000000008</v>
      </c>
      <c r="F58" s="195">
        <f t="shared" si="1"/>
        <v>2427.6840000000002</v>
      </c>
      <c r="G58" s="191">
        <f t="shared" si="2"/>
        <v>2427684</v>
      </c>
      <c r="H58" s="33"/>
      <c r="I58" s="198">
        <f>SUM(I59:I65)</f>
        <v>1262200</v>
      </c>
      <c r="J58" s="231">
        <f>SUM(J59:J64)</f>
        <v>0</v>
      </c>
      <c r="K58" s="41">
        <f t="shared" si="14"/>
        <v>2427.6840000000002</v>
      </c>
      <c r="L58" s="198">
        <f>SUM(L59:L65)</f>
        <v>2427684</v>
      </c>
      <c r="M58" s="195">
        <f t="shared" si="3"/>
        <v>-645</v>
      </c>
      <c r="N58" s="33">
        <f>N59+N60+N65</f>
        <v>0</v>
      </c>
      <c r="O58" s="41">
        <f t="shared" si="19"/>
        <v>-1177.2</v>
      </c>
      <c r="P58" s="191">
        <f t="shared" si="4"/>
        <v>1177200</v>
      </c>
      <c r="Q58" s="231">
        <f>SUM(Q59:Q64)</f>
        <v>0</v>
      </c>
      <c r="R58" s="41">
        <f t="shared" si="20"/>
        <v>-1177.2</v>
      </c>
      <c r="S58" s="198">
        <f>SUM(S59:S65)</f>
        <v>1177200</v>
      </c>
      <c r="T58" s="33">
        <f>SUM(T59:T65)</f>
        <v>645000</v>
      </c>
      <c r="U58" s="210">
        <f t="shared" si="5"/>
        <v>1176201.1310289646</v>
      </c>
      <c r="V58" s="33">
        <f t="shared" si="21"/>
        <v>1427.4988410289648</v>
      </c>
      <c r="W58" s="33">
        <f t="shared" si="22"/>
        <v>1250.4840000000002</v>
      </c>
      <c r="X58" s="231">
        <f t="shared" si="23"/>
        <v>0</v>
      </c>
      <c r="Y58" s="41">
        <f t="shared" si="23"/>
        <v>1250.4840000000002</v>
      </c>
      <c r="Z58" s="47"/>
      <c r="AA58" s="47"/>
    </row>
    <row r="59" spans="1:27" s="117" customFormat="1" ht="9.9499999999999993" customHeight="1" x14ac:dyDescent="0.15">
      <c r="A59" s="144" t="s">
        <v>178</v>
      </c>
      <c r="B59" s="215">
        <v>0.75</v>
      </c>
      <c r="C59" s="145">
        <f t="shared" si="18"/>
        <v>423.04290830532892</v>
      </c>
      <c r="D59" s="41">
        <f t="shared" si="13"/>
        <v>423042.90830532892</v>
      </c>
      <c r="E59" s="200">
        <v>22065.25</v>
      </c>
      <c r="F59" s="196">
        <f t="shared" si="1"/>
        <v>417.32400000000001</v>
      </c>
      <c r="G59" s="191">
        <f t="shared" si="2"/>
        <v>417324</v>
      </c>
      <c r="H59" s="33"/>
      <c r="I59" s="200">
        <v>20000</v>
      </c>
      <c r="J59" s="230"/>
      <c r="K59" s="43">
        <f t="shared" si="14"/>
        <v>417.32400000000001</v>
      </c>
      <c r="L59" s="200">
        <v>417324</v>
      </c>
      <c r="M59" s="196">
        <f t="shared" si="3"/>
        <v>0</v>
      </c>
      <c r="N59" s="36"/>
      <c r="O59" s="43">
        <f t="shared" si="19"/>
        <v>0</v>
      </c>
      <c r="P59" s="191">
        <f>S59</f>
        <v>0</v>
      </c>
      <c r="Q59" s="230">
        <v>0</v>
      </c>
      <c r="R59" s="43">
        <f t="shared" si="20"/>
        <v>0</v>
      </c>
      <c r="S59" s="200"/>
      <c r="T59" s="36"/>
      <c r="U59" s="210">
        <f t="shared" si="5"/>
        <v>400977.65830532892</v>
      </c>
      <c r="V59" s="36">
        <f t="shared" si="21"/>
        <v>423.04290830532892</v>
      </c>
      <c r="W59" s="36">
        <f t="shared" si="22"/>
        <v>417.32400000000001</v>
      </c>
      <c r="X59" s="230">
        <f t="shared" si="23"/>
        <v>0</v>
      </c>
      <c r="Y59" s="43">
        <f t="shared" si="23"/>
        <v>417.32400000000001</v>
      </c>
      <c r="Z59" s="47"/>
      <c r="AA59" s="47"/>
    </row>
    <row r="60" spans="1:27" s="117" customFormat="1" ht="9.9499999999999993" customHeight="1" x14ac:dyDescent="0.15">
      <c r="A60" s="144" t="s">
        <v>179</v>
      </c>
      <c r="B60" s="215">
        <v>0.1</v>
      </c>
      <c r="C60" s="145">
        <f t="shared" si="18"/>
        <v>53.463687774043855</v>
      </c>
      <c r="D60" s="41">
        <f t="shared" si="13"/>
        <v>53463.687774043858</v>
      </c>
      <c r="E60" s="200"/>
      <c r="F60" s="196">
        <f t="shared" si="1"/>
        <v>202.977</v>
      </c>
      <c r="G60" s="191">
        <f t="shared" si="2"/>
        <v>202977</v>
      </c>
      <c r="H60" s="33"/>
      <c r="I60" s="200">
        <v>150000</v>
      </c>
      <c r="J60" s="230"/>
      <c r="K60" s="43">
        <f t="shared" si="14"/>
        <v>202.977</v>
      </c>
      <c r="L60" s="200">
        <v>202977</v>
      </c>
      <c r="M60" s="196">
        <f t="shared" si="3"/>
        <v>0</v>
      </c>
      <c r="N60" s="36"/>
      <c r="O60" s="43">
        <f t="shared" si="19"/>
        <v>-150</v>
      </c>
      <c r="P60" s="191">
        <f t="shared" si="4"/>
        <v>150000</v>
      </c>
      <c r="Q60" s="230">
        <v>0</v>
      </c>
      <c r="R60" s="43">
        <f t="shared" si="20"/>
        <v>-150</v>
      </c>
      <c r="S60" s="200">
        <v>150000</v>
      </c>
      <c r="T60" s="36"/>
      <c r="U60" s="210">
        <f t="shared" si="5"/>
        <v>53463.687774043858</v>
      </c>
      <c r="V60" s="36">
        <f t="shared" si="21"/>
        <v>53.463687774043855</v>
      </c>
      <c r="W60" s="36">
        <f t="shared" si="22"/>
        <v>52.977000000000004</v>
      </c>
      <c r="X60" s="230">
        <f t="shared" si="23"/>
        <v>0</v>
      </c>
      <c r="Y60" s="43">
        <f t="shared" si="23"/>
        <v>52.977000000000004</v>
      </c>
      <c r="Z60" s="47"/>
      <c r="AA60" s="47"/>
    </row>
    <row r="61" spans="1:27" s="117" customFormat="1" ht="9.9499999999999993" customHeight="1" x14ac:dyDescent="0.15">
      <c r="A61" s="144" t="s">
        <v>180</v>
      </c>
      <c r="B61" s="215">
        <v>0.65</v>
      </c>
      <c r="C61" s="145">
        <f t="shared" si="18"/>
        <v>1123.881750531285</v>
      </c>
      <c r="D61" s="41">
        <f t="shared" si="13"/>
        <v>1123881.7505312851</v>
      </c>
      <c r="E61" s="200">
        <v>776367.78</v>
      </c>
      <c r="F61" s="196">
        <f t="shared" si="1"/>
        <v>1131.547</v>
      </c>
      <c r="G61" s="191">
        <f t="shared" si="2"/>
        <v>1131547</v>
      </c>
      <c r="H61" s="33"/>
      <c r="I61" s="200">
        <v>787200</v>
      </c>
      <c r="J61" s="230"/>
      <c r="K61" s="43">
        <f t="shared" si="14"/>
        <v>1131.547</v>
      </c>
      <c r="L61" s="200">
        <v>1131547</v>
      </c>
      <c r="M61" s="196">
        <f t="shared" si="3"/>
        <v>-645</v>
      </c>
      <c r="N61" s="36"/>
      <c r="O61" s="43">
        <f t="shared" si="19"/>
        <v>-777.2</v>
      </c>
      <c r="P61" s="191">
        <f t="shared" si="4"/>
        <v>777200</v>
      </c>
      <c r="Q61" s="230"/>
      <c r="R61" s="43">
        <f t="shared" si="20"/>
        <v>-777.2</v>
      </c>
      <c r="S61" s="200">
        <v>777200</v>
      </c>
      <c r="T61" s="36">
        <v>645000</v>
      </c>
      <c r="U61" s="210">
        <f t="shared" si="5"/>
        <v>347513.9705312851</v>
      </c>
      <c r="V61" s="36">
        <f t="shared" si="21"/>
        <v>478.88175053128498</v>
      </c>
      <c r="W61" s="36">
        <f t="shared" si="22"/>
        <v>354.34699999999998</v>
      </c>
      <c r="X61" s="230">
        <f t="shared" si="23"/>
        <v>0</v>
      </c>
      <c r="Y61" s="43">
        <f t="shared" si="23"/>
        <v>354.34699999999998</v>
      </c>
      <c r="Z61" s="47"/>
      <c r="AA61" s="47"/>
    </row>
    <row r="62" spans="1:27" s="117" customFormat="1" ht="9.75" customHeight="1" x14ac:dyDescent="0.15">
      <c r="A62" s="144" t="s">
        <v>181</v>
      </c>
      <c r="B62" s="215">
        <v>0.2</v>
      </c>
      <c r="C62" s="145">
        <f t="shared" si="18"/>
        <v>187.33042554808773</v>
      </c>
      <c r="D62" s="41">
        <f t="shared" si="13"/>
        <v>187330.42554808772</v>
      </c>
      <c r="E62" s="200">
        <f>7683.61+44758.13+27961.31</f>
        <v>80403.05</v>
      </c>
      <c r="F62" s="196">
        <f t="shared" si="1"/>
        <v>261.90600000000001</v>
      </c>
      <c r="G62" s="191">
        <f t="shared" si="2"/>
        <v>261906</v>
      </c>
      <c r="H62" s="33"/>
      <c r="I62" s="200">
        <v>50000</v>
      </c>
      <c r="J62" s="230"/>
      <c r="K62" s="43">
        <f t="shared" si="14"/>
        <v>261.90600000000001</v>
      </c>
      <c r="L62" s="200">
        <v>261906</v>
      </c>
      <c r="M62" s="196">
        <f t="shared" si="3"/>
        <v>0</v>
      </c>
      <c r="N62" s="36"/>
      <c r="O62" s="43">
        <f t="shared" si="19"/>
        <v>0</v>
      </c>
      <c r="P62" s="191">
        <f t="shared" si="4"/>
        <v>0</v>
      </c>
      <c r="Q62" s="230"/>
      <c r="R62" s="43">
        <f t="shared" si="20"/>
        <v>0</v>
      </c>
      <c r="S62" s="200"/>
      <c r="T62" s="36"/>
      <c r="U62" s="210">
        <f t="shared" si="5"/>
        <v>106927.37554808772</v>
      </c>
      <c r="V62" s="36">
        <f t="shared" si="21"/>
        <v>187.33042554808773</v>
      </c>
      <c r="W62" s="36">
        <f t="shared" si="22"/>
        <v>261.90600000000001</v>
      </c>
      <c r="X62" s="230">
        <f t="shared" si="23"/>
        <v>0</v>
      </c>
      <c r="Y62" s="43">
        <f t="shared" si="23"/>
        <v>261.90600000000001</v>
      </c>
      <c r="Z62" s="47"/>
      <c r="AA62" s="47"/>
    </row>
    <row r="63" spans="1:27" s="117" customFormat="1" ht="9.9499999999999993" customHeight="1" x14ac:dyDescent="0.15">
      <c r="A63" s="144" t="s">
        <v>182</v>
      </c>
      <c r="B63" s="215">
        <v>0.2</v>
      </c>
      <c r="C63" s="145">
        <f t="shared" si="18"/>
        <v>106.92737554808771</v>
      </c>
      <c r="D63" s="41">
        <f t="shared" si="13"/>
        <v>106927.37554808772</v>
      </c>
      <c r="E63" s="200"/>
      <c r="F63" s="196">
        <f t="shared" si="1"/>
        <v>0</v>
      </c>
      <c r="G63" s="191">
        <f t="shared" si="2"/>
        <v>0</v>
      </c>
      <c r="H63" s="33"/>
      <c r="I63" s="200"/>
      <c r="J63" s="230"/>
      <c r="K63" s="43">
        <f t="shared" si="14"/>
        <v>0</v>
      </c>
      <c r="L63" s="200">
        <v>0</v>
      </c>
      <c r="M63" s="196">
        <f t="shared" si="3"/>
        <v>0</v>
      </c>
      <c r="N63" s="36"/>
      <c r="O63" s="43">
        <f t="shared" si="19"/>
        <v>0</v>
      </c>
      <c r="P63" s="191">
        <f t="shared" si="4"/>
        <v>0</v>
      </c>
      <c r="Q63" s="230"/>
      <c r="R63" s="43">
        <f t="shared" si="20"/>
        <v>0</v>
      </c>
      <c r="S63" s="200"/>
      <c r="T63" s="36"/>
      <c r="U63" s="210">
        <f t="shared" si="5"/>
        <v>106927.37554808772</v>
      </c>
      <c r="V63" s="36">
        <f t="shared" si="21"/>
        <v>106.92737554808771</v>
      </c>
      <c r="W63" s="36">
        <f t="shared" si="22"/>
        <v>0</v>
      </c>
      <c r="X63" s="230">
        <f t="shared" si="23"/>
        <v>0</v>
      </c>
      <c r="Y63" s="43">
        <f t="shared" si="23"/>
        <v>0</v>
      </c>
      <c r="Z63" s="47"/>
      <c r="AA63" s="47"/>
    </row>
    <row r="64" spans="1:27" s="117" customFormat="1" ht="9.9499999999999993" customHeight="1" x14ac:dyDescent="0.15">
      <c r="A64" s="144" t="s">
        <v>183</v>
      </c>
      <c r="B64" s="215">
        <v>0.3</v>
      </c>
      <c r="C64" s="145">
        <f t="shared" si="18"/>
        <v>177.85269332213156</v>
      </c>
      <c r="D64" s="41">
        <f t="shared" si="13"/>
        <v>177852.69332213156</v>
      </c>
      <c r="E64" s="200">
        <v>17461.63</v>
      </c>
      <c r="F64" s="196">
        <f t="shared" si="1"/>
        <v>413.93</v>
      </c>
      <c r="G64" s="191">
        <f t="shared" si="2"/>
        <v>413930</v>
      </c>
      <c r="H64" s="33"/>
      <c r="I64" s="200">
        <v>255000</v>
      </c>
      <c r="J64" s="230"/>
      <c r="K64" s="43">
        <f t="shared" si="14"/>
        <v>413.93</v>
      </c>
      <c r="L64" s="200">
        <v>413930</v>
      </c>
      <c r="M64" s="196">
        <f t="shared" si="3"/>
        <v>0</v>
      </c>
      <c r="N64" s="36"/>
      <c r="O64" s="43">
        <f t="shared" si="19"/>
        <v>-250</v>
      </c>
      <c r="P64" s="191">
        <f t="shared" si="4"/>
        <v>250000</v>
      </c>
      <c r="Q64" s="230">
        <v>0</v>
      </c>
      <c r="R64" s="43">
        <f t="shared" si="20"/>
        <v>-250</v>
      </c>
      <c r="S64" s="200">
        <v>250000</v>
      </c>
      <c r="T64" s="36"/>
      <c r="U64" s="210">
        <f t="shared" si="5"/>
        <v>160391.06332213155</v>
      </c>
      <c r="V64" s="36">
        <f t="shared" si="21"/>
        <v>177.85269332213156</v>
      </c>
      <c r="W64" s="36">
        <f t="shared" si="22"/>
        <v>163.93</v>
      </c>
      <c r="X64" s="230">
        <f t="shared" si="23"/>
        <v>0</v>
      </c>
      <c r="Y64" s="43">
        <f t="shared" si="23"/>
        <v>163.93</v>
      </c>
      <c r="Z64" s="47"/>
      <c r="AA64" s="47"/>
    </row>
    <row r="65" spans="1:27" s="117" customFormat="1" ht="9.9499999999999993" hidden="1" customHeight="1" x14ac:dyDescent="0.15">
      <c r="A65" s="144"/>
      <c r="B65" s="215"/>
      <c r="C65" s="145">
        <f t="shared" si="18"/>
        <v>0</v>
      </c>
      <c r="D65" s="41">
        <f t="shared" si="13"/>
        <v>0</v>
      </c>
      <c r="E65" s="200"/>
      <c r="F65" s="195">
        <f t="shared" si="1"/>
        <v>0</v>
      </c>
      <c r="G65" s="191">
        <f t="shared" si="2"/>
        <v>0</v>
      </c>
      <c r="H65" s="33"/>
      <c r="I65" s="200"/>
      <c r="J65" s="230"/>
      <c r="K65" s="43">
        <f t="shared" si="14"/>
        <v>0</v>
      </c>
      <c r="L65" s="200"/>
      <c r="M65" s="196">
        <f t="shared" si="3"/>
        <v>0</v>
      </c>
      <c r="N65" s="36"/>
      <c r="O65" s="43">
        <f t="shared" si="19"/>
        <v>0</v>
      </c>
      <c r="P65" s="191">
        <f t="shared" si="4"/>
        <v>0</v>
      </c>
      <c r="Q65" s="230">
        <v>0</v>
      </c>
      <c r="R65" s="43">
        <f t="shared" si="20"/>
        <v>0</v>
      </c>
      <c r="S65" s="200"/>
      <c r="T65" s="36"/>
      <c r="U65" s="210">
        <f t="shared" si="5"/>
        <v>0</v>
      </c>
      <c r="V65" s="36">
        <f t="shared" si="21"/>
        <v>0</v>
      </c>
      <c r="W65" s="36">
        <f t="shared" si="22"/>
        <v>0</v>
      </c>
      <c r="X65" s="230">
        <f t="shared" si="23"/>
        <v>0</v>
      </c>
      <c r="Y65" s="43">
        <f t="shared" si="23"/>
        <v>0</v>
      </c>
      <c r="Z65" s="47"/>
      <c r="AA65" s="47"/>
    </row>
    <row r="66" spans="1:27" s="118" customFormat="1" ht="9.9499999999999993" customHeight="1" x14ac:dyDescent="0.15">
      <c r="A66" s="142" t="s">
        <v>184</v>
      </c>
      <c r="B66" s="212">
        <f>SUM(B67:B68)</f>
        <v>0.2</v>
      </c>
      <c r="C66" s="140">
        <f t="shared" si="18"/>
        <v>175.13187554808769</v>
      </c>
      <c r="D66" s="41">
        <f t="shared" si="13"/>
        <v>175131.8755480877</v>
      </c>
      <c r="E66" s="198">
        <f>SUM(E67:E68)</f>
        <v>68204.5</v>
      </c>
      <c r="F66" s="195">
        <f t="shared" si="1"/>
        <v>105.953</v>
      </c>
      <c r="G66" s="191">
        <f t="shared" si="2"/>
        <v>105953</v>
      </c>
      <c r="H66" s="33"/>
      <c r="I66" s="198">
        <f>I67+I68</f>
        <v>0</v>
      </c>
      <c r="J66" s="231">
        <f>J67+J68</f>
        <v>0</v>
      </c>
      <c r="K66" s="41">
        <f t="shared" si="14"/>
        <v>105.953</v>
      </c>
      <c r="L66" s="198">
        <f>SUM(L67:L68)</f>
        <v>105953</v>
      </c>
      <c r="M66" s="195">
        <f t="shared" si="3"/>
        <v>-15</v>
      </c>
      <c r="N66" s="33">
        <f>N67+N68</f>
        <v>0</v>
      </c>
      <c r="O66" s="41">
        <f t="shared" si="19"/>
        <v>0</v>
      </c>
      <c r="P66" s="191">
        <f t="shared" si="4"/>
        <v>0</v>
      </c>
      <c r="Q66" s="231">
        <v>0</v>
      </c>
      <c r="R66" s="41">
        <f t="shared" si="20"/>
        <v>0</v>
      </c>
      <c r="S66" s="198">
        <f>SUM(S67:S68)</f>
        <v>0</v>
      </c>
      <c r="T66" s="33">
        <f>T67</f>
        <v>15000</v>
      </c>
      <c r="U66" s="210">
        <f t="shared" si="5"/>
        <v>106927.37554808772</v>
      </c>
      <c r="V66" s="33">
        <f t="shared" si="21"/>
        <v>160.13187554808769</v>
      </c>
      <c r="W66" s="33">
        <f>F66+O66</f>
        <v>105.953</v>
      </c>
      <c r="X66" s="231">
        <f t="shared" si="23"/>
        <v>0</v>
      </c>
      <c r="Y66" s="41">
        <f t="shared" si="23"/>
        <v>105.953</v>
      </c>
      <c r="Z66" s="47"/>
      <c r="AA66" s="47"/>
    </row>
    <row r="67" spans="1:27" s="117" customFormat="1" ht="9.9499999999999993" customHeight="1" x14ac:dyDescent="0.15">
      <c r="A67" s="144" t="s">
        <v>185</v>
      </c>
      <c r="B67" s="215">
        <v>0.2</v>
      </c>
      <c r="C67" s="145">
        <f t="shared" si="18"/>
        <v>175.13187554808769</v>
      </c>
      <c r="D67" s="41">
        <f t="shared" si="13"/>
        <v>175131.8755480877</v>
      </c>
      <c r="E67" s="200">
        <f>38204.5+30000</f>
        <v>68204.5</v>
      </c>
      <c r="F67" s="196">
        <f t="shared" si="1"/>
        <v>105.953</v>
      </c>
      <c r="G67" s="191">
        <f t="shared" si="2"/>
        <v>105953</v>
      </c>
      <c r="H67" s="33"/>
      <c r="I67" s="200"/>
      <c r="J67" s="230"/>
      <c r="K67" s="43">
        <f t="shared" si="14"/>
        <v>105.953</v>
      </c>
      <c r="L67" s="200">
        <v>105953</v>
      </c>
      <c r="M67" s="196">
        <f t="shared" si="3"/>
        <v>-15</v>
      </c>
      <c r="N67" s="36"/>
      <c r="O67" s="43">
        <f t="shared" si="19"/>
        <v>0</v>
      </c>
      <c r="P67" s="191">
        <f t="shared" si="4"/>
        <v>0</v>
      </c>
      <c r="Q67" s="230">
        <v>0</v>
      </c>
      <c r="R67" s="43">
        <f t="shared" si="20"/>
        <v>0</v>
      </c>
      <c r="S67" s="200"/>
      <c r="T67" s="36">
        <v>15000</v>
      </c>
      <c r="U67" s="210">
        <f t="shared" si="5"/>
        <v>106927.37554808772</v>
      </c>
      <c r="V67" s="36">
        <f t="shared" si="21"/>
        <v>160.13187554808769</v>
      </c>
      <c r="W67" s="36">
        <f>F67+O67</f>
        <v>105.953</v>
      </c>
      <c r="X67" s="230">
        <f t="shared" si="23"/>
        <v>0</v>
      </c>
      <c r="Y67" s="43">
        <f t="shared" si="23"/>
        <v>105.953</v>
      </c>
      <c r="Z67" s="47"/>
      <c r="AA67" s="47"/>
    </row>
    <row r="68" spans="1:27" s="117" customFormat="1" ht="9.9499999999999993" hidden="1" customHeight="1" x14ac:dyDescent="0.15">
      <c r="A68" s="144"/>
      <c r="B68" s="215"/>
      <c r="C68" s="145">
        <f t="shared" si="18"/>
        <v>0</v>
      </c>
      <c r="D68" s="41">
        <f t="shared" si="13"/>
        <v>0</v>
      </c>
      <c r="E68" s="200"/>
      <c r="F68" s="195">
        <f t="shared" si="1"/>
        <v>0</v>
      </c>
      <c r="G68" s="191">
        <f t="shared" si="2"/>
        <v>0</v>
      </c>
      <c r="H68" s="33"/>
      <c r="I68" s="200"/>
      <c r="J68" s="230"/>
      <c r="K68" s="41">
        <f t="shared" si="14"/>
        <v>0</v>
      </c>
      <c r="L68" s="200"/>
      <c r="M68" s="195">
        <f t="shared" si="3"/>
        <v>0</v>
      </c>
      <c r="N68" s="36"/>
      <c r="O68" s="43">
        <f t="shared" si="19"/>
        <v>0</v>
      </c>
      <c r="P68" s="191">
        <f t="shared" si="4"/>
        <v>0</v>
      </c>
      <c r="Q68" s="230">
        <v>0</v>
      </c>
      <c r="R68" s="43">
        <f t="shared" si="20"/>
        <v>0</v>
      </c>
      <c r="S68" s="200"/>
      <c r="T68" s="36"/>
      <c r="U68" s="210">
        <f t="shared" si="5"/>
        <v>0</v>
      </c>
      <c r="V68" s="36">
        <f t="shared" si="21"/>
        <v>0</v>
      </c>
      <c r="W68" s="36">
        <f>F68+O68</f>
        <v>0</v>
      </c>
      <c r="X68" s="230">
        <f t="shared" si="23"/>
        <v>0</v>
      </c>
      <c r="Y68" s="43">
        <f t="shared" si="23"/>
        <v>0</v>
      </c>
      <c r="Z68" s="47"/>
      <c r="AA68" s="47"/>
    </row>
    <row r="69" spans="1:27" s="118" customFormat="1" ht="9.9499999999999993" customHeight="1" x14ac:dyDescent="0.15">
      <c r="A69" s="142" t="s">
        <v>186</v>
      </c>
      <c r="B69" s="212">
        <f>SUM(B71:B73)</f>
        <v>2.35</v>
      </c>
      <c r="C69" s="140">
        <f t="shared" si="18"/>
        <v>2156.3234426900308</v>
      </c>
      <c r="D69" s="41">
        <f t="shared" si="13"/>
        <v>2156323.4426900307</v>
      </c>
      <c r="E69" s="198">
        <f>SUM(E70:E73)</f>
        <v>899926.78</v>
      </c>
      <c r="F69" s="195">
        <f t="shared" si="1"/>
        <v>1996.183</v>
      </c>
      <c r="G69" s="191">
        <f t="shared" si="2"/>
        <v>1996183</v>
      </c>
      <c r="H69" s="33"/>
      <c r="I69" s="198">
        <f>SUM(I70:I73)</f>
        <v>751235</v>
      </c>
      <c r="J69" s="231">
        <f>SUM(J70:J73)</f>
        <v>0</v>
      </c>
      <c r="K69" s="41">
        <f t="shared" si="14"/>
        <v>1996.183</v>
      </c>
      <c r="L69" s="198">
        <f>SUM(L70:L73)</f>
        <v>1996183</v>
      </c>
      <c r="M69" s="195">
        <f t="shared" si="3"/>
        <v>-1483.09114</v>
      </c>
      <c r="N69" s="33">
        <f>N71+N72</f>
        <v>0</v>
      </c>
      <c r="O69" s="41">
        <f t="shared" si="19"/>
        <v>-1261</v>
      </c>
      <c r="P69" s="191">
        <f t="shared" si="4"/>
        <v>1261000</v>
      </c>
      <c r="Q69" s="231">
        <f>SUM(Q70:Q73)</f>
        <v>0</v>
      </c>
      <c r="R69" s="41">
        <f t="shared" si="20"/>
        <v>-1261</v>
      </c>
      <c r="S69" s="198">
        <f>S71+S72+S73</f>
        <v>1261000</v>
      </c>
      <c r="T69" s="33">
        <f>SUM(T70:T73)</f>
        <v>1483091.14</v>
      </c>
      <c r="U69" s="210">
        <f t="shared" si="5"/>
        <v>1256396.6626900306</v>
      </c>
      <c r="V69" s="33">
        <f t="shared" si="21"/>
        <v>673.23230269003079</v>
      </c>
      <c r="W69" s="33">
        <f>F69+O69</f>
        <v>735.18299999999999</v>
      </c>
      <c r="X69" s="231">
        <f t="shared" si="23"/>
        <v>0</v>
      </c>
      <c r="Y69" s="41">
        <f t="shared" si="23"/>
        <v>735.18299999999999</v>
      </c>
      <c r="Z69" s="47"/>
      <c r="AA69" s="47"/>
    </row>
    <row r="70" spans="1:27" s="118" customFormat="1" ht="9.9499999999999993" customHeight="1" x14ac:dyDescent="0.15">
      <c r="A70" s="144" t="s">
        <v>187</v>
      </c>
      <c r="B70" s="215">
        <v>0</v>
      </c>
      <c r="C70" s="145">
        <f>D70/1000</f>
        <v>0</v>
      </c>
      <c r="D70" s="41">
        <f t="shared" si="13"/>
        <v>0</v>
      </c>
      <c r="E70" s="198"/>
      <c r="F70" s="196">
        <f t="shared" si="1"/>
        <v>0</v>
      </c>
      <c r="G70" s="191">
        <f t="shared" si="2"/>
        <v>0</v>
      </c>
      <c r="H70" s="33"/>
      <c r="I70" s="198"/>
      <c r="J70" s="231"/>
      <c r="K70" s="43">
        <f t="shared" si="14"/>
        <v>0</v>
      </c>
      <c r="L70" s="198"/>
      <c r="M70" s="196">
        <f t="shared" si="3"/>
        <v>0</v>
      </c>
      <c r="N70" s="33"/>
      <c r="O70" s="41"/>
      <c r="P70" s="191">
        <f t="shared" si="4"/>
        <v>0</v>
      </c>
      <c r="Q70" s="231"/>
      <c r="R70" s="41"/>
      <c r="S70" s="198"/>
      <c r="T70" s="33"/>
      <c r="U70" s="210">
        <f t="shared" si="5"/>
        <v>0</v>
      </c>
      <c r="V70" s="36">
        <f t="shared" si="21"/>
        <v>0</v>
      </c>
      <c r="W70" s="33"/>
      <c r="X70" s="231"/>
      <c r="Y70" s="41"/>
      <c r="Z70" s="47"/>
      <c r="AA70" s="47"/>
    </row>
    <row r="71" spans="1:27" s="117" customFormat="1" ht="9.9499999999999993" customHeight="1" x14ac:dyDescent="0.15">
      <c r="A71" s="144" t="s">
        <v>190</v>
      </c>
      <c r="B71" s="215">
        <v>1</v>
      </c>
      <c r="C71" s="145">
        <f t="shared" si="18"/>
        <v>633.18546774043853</v>
      </c>
      <c r="D71" s="41">
        <f t="shared" si="13"/>
        <v>633185.46774043853</v>
      </c>
      <c r="E71" s="200">
        <v>98548.59</v>
      </c>
      <c r="F71" s="196">
        <f t="shared" si="1"/>
        <v>529.76499999999999</v>
      </c>
      <c r="G71" s="191">
        <f t="shared" si="2"/>
        <v>529765</v>
      </c>
      <c r="H71" s="33"/>
      <c r="I71" s="200"/>
      <c r="J71" s="230"/>
      <c r="K71" s="43">
        <f t="shared" si="14"/>
        <v>529.76499999999999</v>
      </c>
      <c r="L71" s="200">
        <v>529765</v>
      </c>
      <c r="M71" s="196">
        <f t="shared" si="3"/>
        <v>-294.76650000000001</v>
      </c>
      <c r="N71" s="36"/>
      <c r="O71" s="43">
        <f t="shared" si="19"/>
        <v>0</v>
      </c>
      <c r="P71" s="191">
        <f t="shared" si="4"/>
        <v>0</v>
      </c>
      <c r="Q71" s="230"/>
      <c r="R71" s="43">
        <f t="shared" si="20"/>
        <v>0</v>
      </c>
      <c r="S71" s="200"/>
      <c r="T71" s="36">
        <f>59582.5+235184</f>
        <v>294766.5</v>
      </c>
      <c r="U71" s="210">
        <f t="shared" si="5"/>
        <v>534636.87774043856</v>
      </c>
      <c r="V71" s="36">
        <f t="shared" si="21"/>
        <v>338.41896774043852</v>
      </c>
      <c r="W71" s="36">
        <f t="shared" ref="W71:W92" si="24">F71+O71</f>
        <v>529.76499999999999</v>
      </c>
      <c r="X71" s="230">
        <f t="shared" si="23"/>
        <v>0</v>
      </c>
      <c r="Y71" s="43">
        <f t="shared" si="23"/>
        <v>529.76499999999999</v>
      </c>
      <c r="Z71" s="47"/>
      <c r="AA71" s="47"/>
    </row>
    <row r="72" spans="1:27" s="117" customFormat="1" ht="9.9499999999999993" customHeight="1" x14ac:dyDescent="0.15">
      <c r="A72" s="144" t="s">
        <v>188</v>
      </c>
      <c r="B72" s="215">
        <v>1</v>
      </c>
      <c r="C72" s="145">
        <f t="shared" si="18"/>
        <v>1248.2068477404387</v>
      </c>
      <c r="D72" s="41">
        <f t="shared" si="13"/>
        <v>1248206.8477404388</v>
      </c>
      <c r="E72" s="200">
        <f>602873.67+10696.3+100000</f>
        <v>713569.97000000009</v>
      </c>
      <c r="F72" s="196">
        <f t="shared" si="1"/>
        <v>1166</v>
      </c>
      <c r="G72" s="191">
        <f t="shared" si="2"/>
        <v>1166000</v>
      </c>
      <c r="H72" s="33"/>
      <c r="I72" s="200">
        <f>3000+2000+400000+61235+170000</f>
        <v>636235</v>
      </c>
      <c r="J72" s="230"/>
      <c r="K72" s="43">
        <f>L72/1000</f>
        <v>1166</v>
      </c>
      <c r="L72" s="200">
        <v>1166000</v>
      </c>
      <c r="M72" s="196">
        <f t="shared" si="3"/>
        <v>-1188.3246399999998</v>
      </c>
      <c r="N72" s="36"/>
      <c r="O72" s="43">
        <f t="shared" si="19"/>
        <v>-1166</v>
      </c>
      <c r="P72" s="191">
        <f t="shared" si="4"/>
        <v>1166000</v>
      </c>
      <c r="Q72" s="230"/>
      <c r="R72" s="43">
        <f t="shared" si="20"/>
        <v>-1166</v>
      </c>
      <c r="S72" s="200">
        <v>1166000</v>
      </c>
      <c r="T72" s="36">
        <f>1171324.64+17000</f>
        <v>1188324.6399999999</v>
      </c>
      <c r="U72" s="210">
        <f t="shared" si="5"/>
        <v>534636.87774043856</v>
      </c>
      <c r="V72" s="36">
        <f t="shared" si="21"/>
        <v>59.882207740438844</v>
      </c>
      <c r="W72" s="36">
        <f t="shared" si="24"/>
        <v>0</v>
      </c>
      <c r="X72" s="230">
        <f t="shared" si="23"/>
        <v>0</v>
      </c>
      <c r="Y72" s="43">
        <f t="shared" si="23"/>
        <v>0</v>
      </c>
      <c r="Z72" s="47"/>
      <c r="AA72" s="47"/>
    </row>
    <row r="73" spans="1:27" s="117" customFormat="1" ht="9.9499999999999993" customHeight="1" x14ac:dyDescent="0.15">
      <c r="A73" s="144" t="s">
        <v>189</v>
      </c>
      <c r="B73" s="215">
        <v>0.35</v>
      </c>
      <c r="C73" s="145">
        <f t="shared" si="18"/>
        <v>274.93112720915349</v>
      </c>
      <c r="D73" s="41">
        <f t="shared" si="13"/>
        <v>274931.12720915349</v>
      </c>
      <c r="E73" s="200">
        <v>87808.22</v>
      </c>
      <c r="F73" s="196">
        <f t="shared" si="1"/>
        <v>300.41800000000001</v>
      </c>
      <c r="G73" s="191">
        <f t="shared" si="2"/>
        <v>300418</v>
      </c>
      <c r="H73" s="33"/>
      <c r="I73" s="200">
        <f>5000+15000+70000+25000</f>
        <v>115000</v>
      </c>
      <c r="J73" s="230"/>
      <c r="K73" s="43">
        <f t="shared" si="14"/>
        <v>300.41800000000001</v>
      </c>
      <c r="L73" s="200">
        <v>300418</v>
      </c>
      <c r="M73" s="196">
        <f t="shared" si="3"/>
        <v>0</v>
      </c>
      <c r="N73" s="36"/>
      <c r="O73" s="43">
        <f t="shared" si="19"/>
        <v>-95</v>
      </c>
      <c r="P73" s="191">
        <f t="shared" si="4"/>
        <v>95000</v>
      </c>
      <c r="Q73" s="230"/>
      <c r="R73" s="43">
        <f t="shared" si="20"/>
        <v>-95</v>
      </c>
      <c r="S73" s="200">
        <v>95000</v>
      </c>
      <c r="T73" s="36"/>
      <c r="U73" s="210">
        <f t="shared" si="5"/>
        <v>187122.90720915349</v>
      </c>
      <c r="V73" s="36">
        <f t="shared" si="21"/>
        <v>274.93112720915349</v>
      </c>
      <c r="W73" s="36">
        <f t="shared" si="24"/>
        <v>205.41800000000001</v>
      </c>
      <c r="X73" s="230">
        <f t="shared" ref="X73:Y92" si="25">J73+Q73</f>
        <v>0</v>
      </c>
      <c r="Y73" s="43">
        <f t="shared" si="25"/>
        <v>205.41800000000001</v>
      </c>
      <c r="Z73" s="47"/>
      <c r="AA73" s="47"/>
    </row>
    <row r="74" spans="1:27" s="118" customFormat="1" ht="9.9499999999999993" customHeight="1" x14ac:dyDescent="0.15">
      <c r="A74" s="142" t="s">
        <v>191</v>
      </c>
      <c r="B74" s="212">
        <f>SUM(B75:B87)</f>
        <v>4.0600000000000005</v>
      </c>
      <c r="C74" s="140">
        <f t="shared" si="18"/>
        <v>3592.1656036261811</v>
      </c>
      <c r="D74" s="41">
        <f t="shared" si="13"/>
        <v>3592165.6036261809</v>
      </c>
      <c r="E74" s="198">
        <f>SUM(E75:E87)</f>
        <v>1421539.88</v>
      </c>
      <c r="F74" s="195">
        <f t="shared" ref="F74:F137" si="26">G74/1000</f>
        <v>4790.8459999999995</v>
      </c>
      <c r="G74" s="191">
        <f t="shared" ref="G74:G137" si="27">L74</f>
        <v>4790846</v>
      </c>
      <c r="H74" s="33"/>
      <c r="I74" s="198">
        <f>I75+I76+I77+I78+I79+I80+I81+I82+I83+I84+I85+I86+I87</f>
        <v>2640000</v>
      </c>
      <c r="J74" s="231">
        <f>SUM(J75:J78)</f>
        <v>0</v>
      </c>
      <c r="K74" s="41">
        <f t="shared" si="14"/>
        <v>4790.8459999999995</v>
      </c>
      <c r="L74" s="198">
        <f>SUM(L75:L87)</f>
        <v>4790846</v>
      </c>
      <c r="M74" s="195">
        <f>T74/1000*-1</f>
        <v>-1417.9326999999998</v>
      </c>
      <c r="N74" s="33">
        <f>SUM(N75:N87)</f>
        <v>0</v>
      </c>
      <c r="O74" s="41">
        <f t="shared" si="19"/>
        <v>-2575</v>
      </c>
      <c r="P74" s="191">
        <f t="shared" ref="P74:P92" si="28">S74</f>
        <v>2575000</v>
      </c>
      <c r="Q74" s="231">
        <f>SUM(Q75:Q78)</f>
        <v>0</v>
      </c>
      <c r="R74" s="41">
        <f t="shared" si="20"/>
        <v>-2575</v>
      </c>
      <c r="S74" s="198">
        <f>SUM(S75:S87)</f>
        <v>2575000</v>
      </c>
      <c r="T74" s="33">
        <f>SUM(T75:T79)</f>
        <v>1417932.7</v>
      </c>
      <c r="U74" s="210">
        <f t="shared" ref="U74:U137" si="29">$U$8/$B$8*B74</f>
        <v>2170625.723626181</v>
      </c>
      <c r="V74" s="33">
        <f t="shared" si="21"/>
        <v>2174.2329036261813</v>
      </c>
      <c r="W74" s="33">
        <f t="shared" si="24"/>
        <v>2215.8459999999995</v>
      </c>
      <c r="X74" s="231">
        <f t="shared" si="25"/>
        <v>0</v>
      </c>
      <c r="Y74" s="41">
        <f t="shared" si="25"/>
        <v>2215.8459999999995</v>
      </c>
      <c r="Z74" s="47"/>
      <c r="AA74" s="47"/>
    </row>
    <row r="75" spans="1:27" s="117" customFormat="1" ht="9.9499999999999993" customHeight="1" x14ac:dyDescent="0.15">
      <c r="A75" s="144" t="s">
        <v>192</v>
      </c>
      <c r="B75" s="215">
        <v>1.86</v>
      </c>
      <c r="C75" s="145">
        <f t="shared" si="18"/>
        <v>1322.5058825972158</v>
      </c>
      <c r="D75" s="41">
        <f t="shared" si="13"/>
        <v>1322505.8825972157</v>
      </c>
      <c r="E75" s="200">
        <v>328081.28999999998</v>
      </c>
      <c r="F75" s="196">
        <f t="shared" si="26"/>
        <v>1172.3630000000001</v>
      </c>
      <c r="G75" s="191">
        <f t="shared" si="27"/>
        <v>1172363</v>
      </c>
      <c r="H75" s="33"/>
      <c r="I75" s="200">
        <f>3000+3000+20000+90000+11000+10000+50000+25000-25000</f>
        <v>187000</v>
      </c>
      <c r="J75" s="230"/>
      <c r="K75" s="43">
        <f t="shared" si="14"/>
        <v>1172.3630000000001</v>
      </c>
      <c r="L75" s="200">
        <f>1197363-25000</f>
        <v>1172363</v>
      </c>
      <c r="M75" s="196">
        <f>T75/1000*-1</f>
        <v>-52.186250000000001</v>
      </c>
      <c r="N75" s="36"/>
      <c r="O75" s="43">
        <f t="shared" si="19"/>
        <v>-100</v>
      </c>
      <c r="P75" s="191">
        <f t="shared" si="28"/>
        <v>100000</v>
      </c>
      <c r="Q75" s="230">
        <v>0</v>
      </c>
      <c r="R75" s="43">
        <f t="shared" si="20"/>
        <v>-100</v>
      </c>
      <c r="S75" s="200">
        <v>100000</v>
      </c>
      <c r="T75" s="36">
        <v>52186.25</v>
      </c>
      <c r="U75" s="210">
        <f t="shared" si="29"/>
        <v>994424.59259721579</v>
      </c>
      <c r="V75" s="36">
        <f t="shared" si="21"/>
        <v>1270.3196325972158</v>
      </c>
      <c r="W75" s="36">
        <f t="shared" si="24"/>
        <v>1072.3630000000001</v>
      </c>
      <c r="X75" s="230">
        <f t="shared" si="25"/>
        <v>0</v>
      </c>
      <c r="Y75" s="43">
        <f t="shared" si="25"/>
        <v>1072.3630000000001</v>
      </c>
      <c r="Z75" s="47"/>
      <c r="AA75" s="47"/>
    </row>
    <row r="76" spans="1:27" s="117" customFormat="1" ht="9.9499999999999993" customHeight="1" x14ac:dyDescent="0.15">
      <c r="A76" s="144" t="s">
        <v>193</v>
      </c>
      <c r="B76" s="215">
        <v>1</v>
      </c>
      <c r="C76" s="145">
        <f t="shared" si="18"/>
        <v>1088.1816377404386</v>
      </c>
      <c r="D76" s="41">
        <f t="shared" si="13"/>
        <v>1088181.6377404386</v>
      </c>
      <c r="E76" s="200">
        <f>212349.82+100813.39+220981.55+19400</f>
        <v>553544.76</v>
      </c>
      <c r="F76" s="196">
        <f t="shared" si="26"/>
        <v>1899.7650000000001</v>
      </c>
      <c r="G76" s="191">
        <f t="shared" si="27"/>
        <v>1899765</v>
      </c>
      <c r="H76" s="33"/>
      <c r="I76" s="200">
        <f>5000+5000+20000+1000000+330000+10000</f>
        <v>1370000</v>
      </c>
      <c r="J76" s="230"/>
      <c r="K76" s="43">
        <f t="shared" si="14"/>
        <v>1899.7650000000001</v>
      </c>
      <c r="L76" s="200">
        <v>1899765</v>
      </c>
      <c r="M76" s="196">
        <f>T76/1000*-1</f>
        <v>-752.54444999999998</v>
      </c>
      <c r="N76" s="36"/>
      <c r="O76" s="43">
        <f t="shared" si="19"/>
        <v>-1400</v>
      </c>
      <c r="P76" s="191">
        <f t="shared" si="28"/>
        <v>1400000</v>
      </c>
      <c r="Q76" s="230"/>
      <c r="R76" s="43">
        <f t="shared" si="20"/>
        <v>-1400</v>
      </c>
      <c r="S76" s="200">
        <v>1400000</v>
      </c>
      <c r="T76" s="36">
        <f>380398.65+219000+153145.8</f>
        <v>752544.45</v>
      </c>
      <c r="U76" s="210">
        <f t="shared" si="29"/>
        <v>534636.87774043856</v>
      </c>
      <c r="V76" s="36">
        <f t="shared" si="21"/>
        <v>335.63718774043866</v>
      </c>
      <c r="W76" s="36">
        <f t="shared" si="24"/>
        <v>499.7650000000001</v>
      </c>
      <c r="X76" s="230">
        <f t="shared" si="25"/>
        <v>0</v>
      </c>
      <c r="Y76" s="43">
        <f t="shared" si="25"/>
        <v>499.7650000000001</v>
      </c>
      <c r="Z76" s="47"/>
      <c r="AA76" s="47"/>
    </row>
    <row r="77" spans="1:27" s="117" customFormat="1" ht="9.9499999999999993" customHeight="1" x14ac:dyDescent="0.15">
      <c r="A77" s="144" t="s">
        <v>194</v>
      </c>
      <c r="B77" s="215">
        <v>0.6</v>
      </c>
      <c r="C77" s="145">
        <f t="shared" si="18"/>
        <v>433.60530664426312</v>
      </c>
      <c r="D77" s="41">
        <f t="shared" si="13"/>
        <v>433605.3066442631</v>
      </c>
      <c r="E77" s="200">
        <v>112823.18</v>
      </c>
      <c r="F77" s="196">
        <f t="shared" si="26"/>
        <v>922.85900000000004</v>
      </c>
      <c r="G77" s="191">
        <f t="shared" si="27"/>
        <v>922859</v>
      </c>
      <c r="H77" s="33"/>
      <c r="I77" s="200">
        <f>5000+5000+10000+500000+75000+10000</f>
        <v>605000</v>
      </c>
      <c r="J77" s="230"/>
      <c r="K77" s="43">
        <f t="shared" si="14"/>
        <v>922.85900000000004</v>
      </c>
      <c r="L77" s="200">
        <v>922859</v>
      </c>
      <c r="M77" s="196">
        <f>T77/1000*-1</f>
        <v>-225</v>
      </c>
      <c r="N77" s="36"/>
      <c r="O77" s="43">
        <f t="shared" si="19"/>
        <v>-575</v>
      </c>
      <c r="P77" s="191">
        <f t="shared" si="28"/>
        <v>575000</v>
      </c>
      <c r="Q77" s="230"/>
      <c r="R77" s="43">
        <f t="shared" si="20"/>
        <v>-575</v>
      </c>
      <c r="S77" s="200">
        <v>575000</v>
      </c>
      <c r="T77" s="36">
        <v>225000</v>
      </c>
      <c r="U77" s="210">
        <f t="shared" si="29"/>
        <v>320782.1266442631</v>
      </c>
      <c r="V77" s="36">
        <f t="shared" si="21"/>
        <v>208.60530664426312</v>
      </c>
      <c r="W77" s="36">
        <f t="shared" si="24"/>
        <v>347.85900000000004</v>
      </c>
      <c r="X77" s="230">
        <f t="shared" si="25"/>
        <v>0</v>
      </c>
      <c r="Y77" s="43">
        <f t="shared" si="25"/>
        <v>347.85900000000004</v>
      </c>
      <c r="Z77" s="47"/>
      <c r="AA77" s="47"/>
    </row>
    <row r="78" spans="1:27" s="117" customFormat="1" ht="9.9499999999999993" customHeight="1" x14ac:dyDescent="0.15">
      <c r="A78" s="144" t="s">
        <v>195</v>
      </c>
      <c r="B78" s="215">
        <v>0.6</v>
      </c>
      <c r="C78" s="145">
        <f t="shared" si="18"/>
        <v>747.87277664426324</v>
      </c>
      <c r="D78" s="41">
        <f t="shared" si="13"/>
        <v>747872.77664426318</v>
      </c>
      <c r="E78" s="200">
        <v>427090.65</v>
      </c>
      <c r="F78" s="196">
        <f t="shared" si="26"/>
        <v>795.85900000000004</v>
      </c>
      <c r="G78" s="191">
        <f t="shared" si="27"/>
        <v>795859</v>
      </c>
      <c r="H78" s="33"/>
      <c r="I78" s="200">
        <f>3000+5000+10000+400000+50000+10000</f>
        <v>478000</v>
      </c>
      <c r="J78" s="230"/>
      <c r="K78" s="43">
        <f t="shared" si="14"/>
        <v>795.85900000000004</v>
      </c>
      <c r="L78" s="200">
        <v>795859</v>
      </c>
      <c r="M78" s="196">
        <f t="shared" ref="M78:M128" si="30">T78/1000*-1</f>
        <v>-388.202</v>
      </c>
      <c r="N78" s="36"/>
      <c r="O78" s="43">
        <f t="shared" si="19"/>
        <v>-500</v>
      </c>
      <c r="P78" s="191">
        <f t="shared" si="28"/>
        <v>500000</v>
      </c>
      <c r="Q78" s="230"/>
      <c r="R78" s="43">
        <f t="shared" si="20"/>
        <v>-500</v>
      </c>
      <c r="S78" s="200">
        <v>500000</v>
      </c>
      <c r="T78" s="36">
        <v>388202</v>
      </c>
      <c r="U78" s="210">
        <f t="shared" si="29"/>
        <v>320782.1266442631</v>
      </c>
      <c r="V78" s="36">
        <f t="shared" si="21"/>
        <v>359.67077664426324</v>
      </c>
      <c r="W78" s="36">
        <f t="shared" si="24"/>
        <v>295.85900000000004</v>
      </c>
      <c r="X78" s="230">
        <f t="shared" si="25"/>
        <v>0</v>
      </c>
      <c r="Y78" s="43">
        <f t="shared" si="25"/>
        <v>295.85900000000004</v>
      </c>
      <c r="Z78" s="47"/>
      <c r="AA78" s="47"/>
    </row>
    <row r="79" spans="1:27" s="117" customFormat="1" ht="9.9499999999999993" hidden="1" customHeight="1" x14ac:dyDescent="0.15">
      <c r="A79" s="144"/>
      <c r="B79" s="215"/>
      <c r="C79" s="145">
        <f t="shared" si="18"/>
        <v>0</v>
      </c>
      <c r="D79" s="41">
        <f t="shared" si="13"/>
        <v>0</v>
      </c>
      <c r="E79" s="200"/>
      <c r="F79" s="195">
        <f t="shared" si="26"/>
        <v>0</v>
      </c>
      <c r="G79" s="191">
        <f t="shared" si="27"/>
        <v>0</v>
      </c>
      <c r="H79" s="33"/>
      <c r="I79" s="200"/>
      <c r="J79" s="230"/>
      <c r="K79" s="41">
        <f t="shared" si="14"/>
        <v>0</v>
      </c>
      <c r="L79" s="200"/>
      <c r="M79" s="195">
        <f t="shared" si="30"/>
        <v>0</v>
      </c>
      <c r="N79" s="36"/>
      <c r="O79" s="43">
        <f t="shared" si="19"/>
        <v>0</v>
      </c>
      <c r="P79" s="191">
        <f t="shared" si="28"/>
        <v>0</v>
      </c>
      <c r="Q79" s="230"/>
      <c r="R79" s="43">
        <f t="shared" si="20"/>
        <v>0</v>
      </c>
      <c r="S79" s="200"/>
      <c r="T79" s="36"/>
      <c r="U79" s="210">
        <f t="shared" si="29"/>
        <v>0</v>
      </c>
      <c r="V79" s="36">
        <f t="shared" si="21"/>
        <v>0</v>
      </c>
      <c r="W79" s="36">
        <f t="shared" si="24"/>
        <v>0</v>
      </c>
      <c r="X79" s="230">
        <f t="shared" si="25"/>
        <v>0</v>
      </c>
      <c r="Y79" s="43">
        <f t="shared" si="25"/>
        <v>0</v>
      </c>
      <c r="Z79" s="47"/>
      <c r="AA79" s="47"/>
    </row>
    <row r="80" spans="1:27" s="117" customFormat="1" ht="9.9499999999999993" hidden="1" customHeight="1" x14ac:dyDescent="0.15">
      <c r="A80" s="144"/>
      <c r="B80" s="215"/>
      <c r="C80" s="145">
        <f t="shared" si="18"/>
        <v>0</v>
      </c>
      <c r="D80" s="41">
        <f t="shared" si="13"/>
        <v>0</v>
      </c>
      <c r="E80" s="200"/>
      <c r="F80" s="195">
        <f t="shared" si="26"/>
        <v>0</v>
      </c>
      <c r="G80" s="191">
        <f t="shared" si="27"/>
        <v>0</v>
      </c>
      <c r="H80" s="33"/>
      <c r="I80" s="200"/>
      <c r="J80" s="230"/>
      <c r="K80" s="41">
        <f t="shared" si="14"/>
        <v>0</v>
      </c>
      <c r="L80" s="200"/>
      <c r="M80" s="195">
        <f t="shared" si="30"/>
        <v>0</v>
      </c>
      <c r="N80" s="36"/>
      <c r="O80" s="43">
        <f t="shared" si="19"/>
        <v>0</v>
      </c>
      <c r="P80" s="191">
        <f t="shared" si="28"/>
        <v>0</v>
      </c>
      <c r="Q80" s="230"/>
      <c r="R80" s="43">
        <f t="shared" si="20"/>
        <v>0</v>
      </c>
      <c r="S80" s="200"/>
      <c r="T80" s="36"/>
      <c r="U80" s="210">
        <f t="shared" si="29"/>
        <v>0</v>
      </c>
      <c r="V80" s="36">
        <f t="shared" si="21"/>
        <v>0</v>
      </c>
      <c r="W80" s="36">
        <f t="shared" si="24"/>
        <v>0</v>
      </c>
      <c r="X80" s="230">
        <f t="shared" si="25"/>
        <v>0</v>
      </c>
      <c r="Y80" s="43">
        <f t="shared" si="25"/>
        <v>0</v>
      </c>
      <c r="Z80" s="47"/>
      <c r="AA80" s="47"/>
    </row>
    <row r="81" spans="1:27" s="117" customFormat="1" ht="9.9499999999999993" hidden="1" customHeight="1" x14ac:dyDescent="0.15">
      <c r="A81" s="144"/>
      <c r="B81" s="215"/>
      <c r="C81" s="145">
        <f t="shared" si="18"/>
        <v>0</v>
      </c>
      <c r="D81" s="41">
        <f t="shared" si="13"/>
        <v>0</v>
      </c>
      <c r="E81" s="200"/>
      <c r="F81" s="195">
        <f t="shared" si="26"/>
        <v>0</v>
      </c>
      <c r="G81" s="191">
        <f t="shared" si="27"/>
        <v>0</v>
      </c>
      <c r="H81" s="33"/>
      <c r="I81" s="200"/>
      <c r="J81" s="230"/>
      <c r="K81" s="41">
        <f t="shared" si="14"/>
        <v>0</v>
      </c>
      <c r="L81" s="200"/>
      <c r="M81" s="195">
        <f t="shared" si="30"/>
        <v>0</v>
      </c>
      <c r="N81" s="36"/>
      <c r="O81" s="43">
        <f t="shared" si="19"/>
        <v>0</v>
      </c>
      <c r="P81" s="191">
        <f t="shared" si="28"/>
        <v>0</v>
      </c>
      <c r="Q81" s="230"/>
      <c r="R81" s="43">
        <f t="shared" si="20"/>
        <v>0</v>
      </c>
      <c r="S81" s="200"/>
      <c r="T81" s="36"/>
      <c r="U81" s="210">
        <f t="shared" si="29"/>
        <v>0</v>
      </c>
      <c r="V81" s="36">
        <f t="shared" si="21"/>
        <v>0</v>
      </c>
      <c r="W81" s="36">
        <f t="shared" si="24"/>
        <v>0</v>
      </c>
      <c r="X81" s="230">
        <f t="shared" si="25"/>
        <v>0</v>
      </c>
      <c r="Y81" s="43">
        <f t="shared" si="25"/>
        <v>0</v>
      </c>
      <c r="Z81" s="47"/>
      <c r="AA81" s="47"/>
    </row>
    <row r="82" spans="1:27" s="117" customFormat="1" ht="9.9499999999999993" hidden="1" customHeight="1" x14ac:dyDescent="0.15">
      <c r="A82" s="144"/>
      <c r="B82" s="215"/>
      <c r="C82" s="145">
        <f t="shared" si="18"/>
        <v>0</v>
      </c>
      <c r="D82" s="41">
        <f t="shared" si="13"/>
        <v>0</v>
      </c>
      <c r="E82" s="200"/>
      <c r="F82" s="195">
        <f t="shared" si="26"/>
        <v>0</v>
      </c>
      <c r="G82" s="191">
        <f t="shared" si="27"/>
        <v>0</v>
      </c>
      <c r="H82" s="33"/>
      <c r="I82" s="200"/>
      <c r="J82" s="230"/>
      <c r="K82" s="41">
        <f t="shared" si="14"/>
        <v>0</v>
      </c>
      <c r="L82" s="200"/>
      <c r="M82" s="195">
        <f t="shared" si="30"/>
        <v>0</v>
      </c>
      <c r="N82" s="36"/>
      <c r="O82" s="43">
        <f t="shared" si="19"/>
        <v>0</v>
      </c>
      <c r="P82" s="191">
        <f t="shared" si="28"/>
        <v>0</v>
      </c>
      <c r="Q82" s="230"/>
      <c r="R82" s="43">
        <f t="shared" si="20"/>
        <v>0</v>
      </c>
      <c r="S82" s="200"/>
      <c r="T82" s="36"/>
      <c r="U82" s="210">
        <f t="shared" si="29"/>
        <v>0</v>
      </c>
      <c r="V82" s="36">
        <f t="shared" si="21"/>
        <v>0</v>
      </c>
      <c r="W82" s="36">
        <f t="shared" si="24"/>
        <v>0</v>
      </c>
      <c r="X82" s="230">
        <f t="shared" si="25"/>
        <v>0</v>
      </c>
      <c r="Y82" s="43">
        <f t="shared" si="25"/>
        <v>0</v>
      </c>
      <c r="Z82" s="47"/>
      <c r="AA82" s="47"/>
    </row>
    <row r="83" spans="1:27" s="117" customFormat="1" ht="9.9499999999999993" hidden="1" customHeight="1" x14ac:dyDescent="0.15">
      <c r="A83" s="144"/>
      <c r="B83" s="215"/>
      <c r="C83" s="145">
        <f t="shared" si="18"/>
        <v>0</v>
      </c>
      <c r="D83" s="41">
        <f t="shared" si="13"/>
        <v>0</v>
      </c>
      <c r="E83" s="200"/>
      <c r="F83" s="195">
        <f t="shared" si="26"/>
        <v>0</v>
      </c>
      <c r="G83" s="191">
        <f t="shared" si="27"/>
        <v>0</v>
      </c>
      <c r="H83" s="33"/>
      <c r="I83" s="200">
        <v>0</v>
      </c>
      <c r="J83" s="230"/>
      <c r="K83" s="41">
        <f t="shared" si="14"/>
        <v>0</v>
      </c>
      <c r="L83" s="200"/>
      <c r="M83" s="195">
        <f t="shared" si="30"/>
        <v>0</v>
      </c>
      <c r="N83" s="36"/>
      <c r="O83" s="43">
        <f t="shared" si="19"/>
        <v>0</v>
      </c>
      <c r="P83" s="191">
        <f t="shared" si="28"/>
        <v>0</v>
      </c>
      <c r="Q83" s="230"/>
      <c r="R83" s="43">
        <f t="shared" si="20"/>
        <v>0</v>
      </c>
      <c r="S83" s="200"/>
      <c r="T83" s="36"/>
      <c r="U83" s="210">
        <f t="shared" si="29"/>
        <v>0</v>
      </c>
      <c r="V83" s="36">
        <f t="shared" si="21"/>
        <v>0</v>
      </c>
      <c r="W83" s="36">
        <f t="shared" si="24"/>
        <v>0</v>
      </c>
      <c r="X83" s="230">
        <f t="shared" si="25"/>
        <v>0</v>
      </c>
      <c r="Y83" s="43">
        <f t="shared" si="25"/>
        <v>0</v>
      </c>
      <c r="Z83" s="47"/>
      <c r="AA83" s="47"/>
    </row>
    <row r="84" spans="1:27" s="117" customFormat="1" ht="9.9499999999999993" hidden="1" customHeight="1" x14ac:dyDescent="0.15">
      <c r="A84" s="144"/>
      <c r="B84" s="215"/>
      <c r="C84" s="145">
        <f t="shared" si="18"/>
        <v>0</v>
      </c>
      <c r="D84" s="41">
        <f t="shared" si="13"/>
        <v>0</v>
      </c>
      <c r="E84" s="200"/>
      <c r="F84" s="195">
        <f t="shared" si="26"/>
        <v>0</v>
      </c>
      <c r="G84" s="191">
        <f t="shared" si="27"/>
        <v>0</v>
      </c>
      <c r="H84" s="33"/>
      <c r="I84" s="200">
        <v>0</v>
      </c>
      <c r="J84" s="230"/>
      <c r="K84" s="41">
        <f t="shared" si="14"/>
        <v>0</v>
      </c>
      <c r="L84" s="200"/>
      <c r="M84" s="195">
        <f t="shared" si="30"/>
        <v>0</v>
      </c>
      <c r="N84" s="36"/>
      <c r="O84" s="43">
        <f t="shared" si="19"/>
        <v>0</v>
      </c>
      <c r="P84" s="191">
        <f t="shared" si="28"/>
        <v>0</v>
      </c>
      <c r="Q84" s="230"/>
      <c r="R84" s="43">
        <f t="shared" si="20"/>
        <v>0</v>
      </c>
      <c r="S84" s="200"/>
      <c r="T84" s="36"/>
      <c r="U84" s="210">
        <f t="shared" si="29"/>
        <v>0</v>
      </c>
      <c r="V84" s="36">
        <f t="shared" si="21"/>
        <v>0</v>
      </c>
      <c r="W84" s="36">
        <f t="shared" si="24"/>
        <v>0</v>
      </c>
      <c r="X84" s="230">
        <f t="shared" si="25"/>
        <v>0</v>
      </c>
      <c r="Y84" s="43">
        <f t="shared" si="25"/>
        <v>0</v>
      </c>
      <c r="Z84" s="47"/>
      <c r="AA84" s="47"/>
    </row>
    <row r="85" spans="1:27" s="117" customFormat="1" ht="9.9499999999999993" hidden="1" customHeight="1" x14ac:dyDescent="0.15">
      <c r="A85" s="144"/>
      <c r="B85" s="215"/>
      <c r="C85" s="145">
        <f t="shared" si="18"/>
        <v>0</v>
      </c>
      <c r="D85" s="41">
        <f t="shared" si="13"/>
        <v>0</v>
      </c>
      <c r="E85" s="200"/>
      <c r="F85" s="195">
        <f t="shared" si="26"/>
        <v>0</v>
      </c>
      <c r="G85" s="191">
        <f t="shared" si="27"/>
        <v>0</v>
      </c>
      <c r="H85" s="33"/>
      <c r="I85" s="200"/>
      <c r="J85" s="230"/>
      <c r="K85" s="41">
        <f t="shared" si="14"/>
        <v>0</v>
      </c>
      <c r="L85" s="200"/>
      <c r="M85" s="195">
        <f t="shared" si="30"/>
        <v>0</v>
      </c>
      <c r="N85" s="36"/>
      <c r="O85" s="43">
        <f t="shared" si="19"/>
        <v>0</v>
      </c>
      <c r="P85" s="191">
        <f t="shared" si="28"/>
        <v>0</v>
      </c>
      <c r="Q85" s="230"/>
      <c r="R85" s="43">
        <f t="shared" si="20"/>
        <v>0</v>
      </c>
      <c r="S85" s="200"/>
      <c r="T85" s="36"/>
      <c r="U85" s="210">
        <f t="shared" si="29"/>
        <v>0</v>
      </c>
      <c r="V85" s="36">
        <f t="shared" si="21"/>
        <v>0</v>
      </c>
      <c r="W85" s="36">
        <f t="shared" si="24"/>
        <v>0</v>
      </c>
      <c r="X85" s="230">
        <f t="shared" si="25"/>
        <v>0</v>
      </c>
      <c r="Y85" s="43">
        <f t="shared" si="25"/>
        <v>0</v>
      </c>
      <c r="Z85" s="47"/>
      <c r="AA85" s="47"/>
    </row>
    <row r="86" spans="1:27" s="117" customFormat="1" ht="9.9499999999999993" hidden="1" customHeight="1" x14ac:dyDescent="0.15">
      <c r="A86" s="144"/>
      <c r="B86" s="215"/>
      <c r="C86" s="145">
        <f t="shared" si="18"/>
        <v>0</v>
      </c>
      <c r="D86" s="41">
        <f t="shared" si="13"/>
        <v>0</v>
      </c>
      <c r="E86" s="200"/>
      <c r="F86" s="195">
        <f t="shared" si="26"/>
        <v>0</v>
      </c>
      <c r="G86" s="191">
        <f t="shared" si="27"/>
        <v>0</v>
      </c>
      <c r="H86" s="33"/>
      <c r="I86" s="200"/>
      <c r="J86" s="230"/>
      <c r="K86" s="41">
        <f t="shared" si="14"/>
        <v>0</v>
      </c>
      <c r="L86" s="200"/>
      <c r="M86" s="195">
        <f t="shared" si="30"/>
        <v>0</v>
      </c>
      <c r="N86" s="36"/>
      <c r="O86" s="43">
        <f t="shared" si="19"/>
        <v>0</v>
      </c>
      <c r="P86" s="191">
        <f t="shared" si="28"/>
        <v>0</v>
      </c>
      <c r="Q86" s="230"/>
      <c r="R86" s="43">
        <f t="shared" si="20"/>
        <v>0</v>
      </c>
      <c r="S86" s="200"/>
      <c r="T86" s="36"/>
      <c r="U86" s="210">
        <f t="shared" si="29"/>
        <v>0</v>
      </c>
      <c r="V86" s="36">
        <f t="shared" si="21"/>
        <v>0</v>
      </c>
      <c r="W86" s="36">
        <f t="shared" si="24"/>
        <v>0</v>
      </c>
      <c r="X86" s="230">
        <f t="shared" si="25"/>
        <v>0</v>
      </c>
      <c r="Y86" s="43">
        <f t="shared" si="25"/>
        <v>0</v>
      </c>
      <c r="Z86" s="47"/>
      <c r="AA86" s="47"/>
    </row>
    <row r="87" spans="1:27" s="117" customFormat="1" ht="9.9499999999999993" hidden="1" customHeight="1" x14ac:dyDescent="0.15">
      <c r="A87" s="144"/>
      <c r="B87" s="215"/>
      <c r="C87" s="145">
        <f t="shared" si="18"/>
        <v>0</v>
      </c>
      <c r="D87" s="41">
        <f t="shared" si="13"/>
        <v>0</v>
      </c>
      <c r="E87" s="200"/>
      <c r="F87" s="195">
        <f t="shared" si="26"/>
        <v>0</v>
      </c>
      <c r="G87" s="191">
        <f t="shared" si="27"/>
        <v>0</v>
      </c>
      <c r="H87" s="33"/>
      <c r="I87" s="200">
        <v>0</v>
      </c>
      <c r="J87" s="230"/>
      <c r="K87" s="41">
        <f t="shared" si="14"/>
        <v>0</v>
      </c>
      <c r="L87" s="200"/>
      <c r="M87" s="195">
        <f t="shared" si="30"/>
        <v>0</v>
      </c>
      <c r="N87" s="36"/>
      <c r="O87" s="43">
        <f t="shared" si="19"/>
        <v>0</v>
      </c>
      <c r="P87" s="191">
        <f t="shared" si="28"/>
        <v>0</v>
      </c>
      <c r="Q87" s="230"/>
      <c r="R87" s="43">
        <f t="shared" si="20"/>
        <v>0</v>
      </c>
      <c r="S87" s="200"/>
      <c r="T87" s="36"/>
      <c r="U87" s="210">
        <f t="shared" si="29"/>
        <v>0</v>
      </c>
      <c r="V87" s="36">
        <f t="shared" si="21"/>
        <v>0</v>
      </c>
      <c r="W87" s="36">
        <f t="shared" si="24"/>
        <v>0</v>
      </c>
      <c r="X87" s="230">
        <f t="shared" si="25"/>
        <v>0</v>
      </c>
      <c r="Y87" s="43">
        <f t="shared" si="25"/>
        <v>0</v>
      </c>
      <c r="Z87" s="47"/>
      <c r="AA87" s="47"/>
    </row>
    <row r="88" spans="1:27" s="118" customFormat="1" ht="9.9499999999999993" customHeight="1" x14ac:dyDescent="0.15">
      <c r="A88" s="142" t="s">
        <v>236</v>
      </c>
      <c r="B88" s="212">
        <f>SUM(B89:B92)</f>
        <v>1.2999999999999998</v>
      </c>
      <c r="C88" s="140">
        <f t="shared" si="18"/>
        <v>1370.9403910625701</v>
      </c>
      <c r="D88" s="41">
        <f t="shared" si="13"/>
        <v>1370940.39106257</v>
      </c>
      <c r="E88" s="198">
        <f>SUM(E89:E92)</f>
        <v>675912.45</v>
      </c>
      <c r="F88" s="195">
        <f t="shared" si="26"/>
        <v>1843.6949999999999</v>
      </c>
      <c r="G88" s="191">
        <f t="shared" si="27"/>
        <v>1843695</v>
      </c>
      <c r="H88" s="33"/>
      <c r="I88" s="198">
        <f>SUM(I89:I93)</f>
        <v>1155000</v>
      </c>
      <c r="J88" s="231">
        <f>SUM(J89:J93)</f>
        <v>0</v>
      </c>
      <c r="K88" s="41">
        <f>L88/1000</f>
        <v>1843.6949999999999</v>
      </c>
      <c r="L88" s="198">
        <f>SUM(L89:L93)</f>
        <v>1843695</v>
      </c>
      <c r="M88" s="195">
        <f t="shared" si="30"/>
        <v>0</v>
      </c>
      <c r="N88" s="33"/>
      <c r="O88" s="41">
        <f t="shared" si="19"/>
        <v>-972.85900000000004</v>
      </c>
      <c r="P88" s="191">
        <f t="shared" si="28"/>
        <v>972859</v>
      </c>
      <c r="Q88" s="231">
        <f>SUM(Q89:Q92)</f>
        <v>0</v>
      </c>
      <c r="R88" s="41">
        <f t="shared" si="20"/>
        <v>-972.85900000000004</v>
      </c>
      <c r="S88" s="198">
        <f>SUM(S89:S93)</f>
        <v>972859</v>
      </c>
      <c r="T88" s="33">
        <f>SUM(T89:T92)</f>
        <v>0</v>
      </c>
      <c r="U88" s="210">
        <f t="shared" si="29"/>
        <v>695027.94106257008</v>
      </c>
      <c r="V88" s="33">
        <f t="shared" si="21"/>
        <v>1370.9403910625701</v>
      </c>
      <c r="W88" s="33">
        <f t="shared" si="24"/>
        <v>870.8359999999999</v>
      </c>
      <c r="X88" s="231">
        <f t="shared" si="25"/>
        <v>0</v>
      </c>
      <c r="Y88" s="41">
        <f t="shared" si="25"/>
        <v>870.8359999999999</v>
      </c>
      <c r="Z88" s="47"/>
      <c r="AA88" s="47"/>
    </row>
    <row r="89" spans="1:27" s="117" customFormat="1" ht="9.9499999999999993" customHeight="1" x14ac:dyDescent="0.15">
      <c r="A89" s="144" t="s">
        <v>196</v>
      </c>
      <c r="B89" s="215">
        <v>0</v>
      </c>
      <c r="C89" s="145">
        <f t="shared" si="18"/>
        <v>0</v>
      </c>
      <c r="D89" s="41">
        <f t="shared" si="13"/>
        <v>0</v>
      </c>
      <c r="E89" s="200"/>
      <c r="F89" s="196">
        <f t="shared" si="26"/>
        <v>0</v>
      </c>
      <c r="G89" s="191">
        <f t="shared" si="27"/>
        <v>0</v>
      </c>
      <c r="H89" s="33"/>
      <c r="I89" s="200"/>
      <c r="J89" s="230"/>
      <c r="K89" s="43">
        <f t="shared" si="14"/>
        <v>0</v>
      </c>
      <c r="L89" s="200"/>
      <c r="M89" s="196">
        <f t="shared" si="30"/>
        <v>0</v>
      </c>
      <c r="N89" s="36"/>
      <c r="O89" s="43">
        <f t="shared" si="19"/>
        <v>0</v>
      </c>
      <c r="P89" s="191">
        <f t="shared" si="28"/>
        <v>0</v>
      </c>
      <c r="Q89" s="230">
        <v>0</v>
      </c>
      <c r="R89" s="43">
        <f t="shared" si="20"/>
        <v>0</v>
      </c>
      <c r="S89" s="200">
        <v>0</v>
      </c>
      <c r="T89" s="36"/>
      <c r="U89" s="210">
        <f t="shared" si="29"/>
        <v>0</v>
      </c>
      <c r="V89" s="36">
        <f t="shared" si="21"/>
        <v>0</v>
      </c>
      <c r="W89" s="36">
        <f t="shared" si="24"/>
        <v>0</v>
      </c>
      <c r="X89" s="230">
        <f t="shared" si="25"/>
        <v>0</v>
      </c>
      <c r="Y89" s="43">
        <f t="shared" si="25"/>
        <v>0</v>
      </c>
      <c r="Z89" s="47"/>
      <c r="AA89" s="47"/>
    </row>
    <row r="90" spans="1:27" s="117" customFormat="1" ht="9.9499999999999993" customHeight="1" x14ac:dyDescent="0.15">
      <c r="A90" s="144" t="s">
        <v>197</v>
      </c>
      <c r="B90" s="215">
        <v>0.6</v>
      </c>
      <c r="C90" s="145">
        <f t="shared" si="18"/>
        <v>524.16337664426305</v>
      </c>
      <c r="D90" s="41">
        <f t="shared" si="13"/>
        <v>524163.3766442631</v>
      </c>
      <c r="E90" s="200">
        <v>203381.25</v>
      </c>
      <c r="F90" s="196">
        <f t="shared" si="26"/>
        <v>972.85900000000004</v>
      </c>
      <c r="G90" s="191">
        <f t="shared" si="27"/>
        <v>972859</v>
      </c>
      <c r="H90" s="33"/>
      <c r="I90" s="200">
        <f>10000+25000+20000+200000+400000</f>
        <v>655000</v>
      </c>
      <c r="J90" s="230"/>
      <c r="K90" s="43">
        <f t="shared" si="14"/>
        <v>972.85900000000004</v>
      </c>
      <c r="L90" s="200">
        <v>972859</v>
      </c>
      <c r="M90" s="196">
        <f t="shared" si="30"/>
        <v>0</v>
      </c>
      <c r="N90" s="36"/>
      <c r="O90" s="43">
        <f t="shared" si="19"/>
        <v>-972.85900000000004</v>
      </c>
      <c r="P90" s="191">
        <f t="shared" si="28"/>
        <v>972859</v>
      </c>
      <c r="Q90" s="230"/>
      <c r="R90" s="43">
        <f t="shared" si="20"/>
        <v>-972.85900000000004</v>
      </c>
      <c r="S90" s="200">
        <v>972859</v>
      </c>
      <c r="T90" s="36"/>
      <c r="U90" s="210">
        <f t="shared" si="29"/>
        <v>320782.1266442631</v>
      </c>
      <c r="V90" s="36">
        <f t="shared" si="21"/>
        <v>524.16337664426305</v>
      </c>
      <c r="W90" s="36">
        <f t="shared" si="24"/>
        <v>0</v>
      </c>
      <c r="X90" s="230">
        <f t="shared" si="25"/>
        <v>0</v>
      </c>
      <c r="Y90" s="43">
        <f t="shared" si="25"/>
        <v>0</v>
      </c>
      <c r="Z90" s="47"/>
      <c r="AA90" s="47"/>
    </row>
    <row r="91" spans="1:27" s="117" customFormat="1" ht="9.9499999999999993" customHeight="1" x14ac:dyDescent="0.15">
      <c r="A91" s="144" t="s">
        <v>198</v>
      </c>
      <c r="B91" s="215">
        <v>0.3</v>
      </c>
      <c r="C91" s="145">
        <f t="shared" si="18"/>
        <v>632.92226332213158</v>
      </c>
      <c r="D91" s="41">
        <f t="shared" ref="D91:D144" si="31">E91+U91</f>
        <v>632922.26332213159</v>
      </c>
      <c r="E91" s="200">
        <f>1831.2+470700</f>
        <v>472531.20000000001</v>
      </c>
      <c r="F91" s="196">
        <f t="shared" si="26"/>
        <v>658.93</v>
      </c>
      <c r="G91" s="191">
        <f t="shared" si="27"/>
        <v>658930</v>
      </c>
      <c r="H91" s="33"/>
      <c r="I91" s="200">
        <v>500000</v>
      </c>
      <c r="J91" s="230"/>
      <c r="K91" s="43">
        <f t="shared" ref="K91:K145" si="32">L91/1000</f>
        <v>658.93</v>
      </c>
      <c r="L91" s="200">
        <v>658930</v>
      </c>
      <c r="M91" s="196">
        <f t="shared" si="30"/>
        <v>0</v>
      </c>
      <c r="N91" s="36"/>
      <c r="O91" s="43">
        <f t="shared" si="19"/>
        <v>0</v>
      </c>
      <c r="P91" s="191">
        <f t="shared" si="28"/>
        <v>0</v>
      </c>
      <c r="Q91" s="230"/>
      <c r="R91" s="43">
        <f t="shared" si="20"/>
        <v>0</v>
      </c>
      <c r="S91" s="200"/>
      <c r="T91" s="36"/>
      <c r="U91" s="210">
        <f t="shared" si="29"/>
        <v>160391.06332213155</v>
      </c>
      <c r="V91" s="36">
        <f t="shared" si="21"/>
        <v>632.92226332213158</v>
      </c>
      <c r="W91" s="36">
        <f t="shared" si="24"/>
        <v>658.93</v>
      </c>
      <c r="X91" s="230">
        <f t="shared" si="25"/>
        <v>0</v>
      </c>
      <c r="Y91" s="43">
        <f t="shared" si="25"/>
        <v>658.93</v>
      </c>
      <c r="Z91" s="47"/>
      <c r="AA91" s="47"/>
    </row>
    <row r="92" spans="1:27" s="117" customFormat="1" ht="9.9499999999999993" customHeight="1" x14ac:dyDescent="0.15">
      <c r="A92" s="144" t="s">
        <v>199</v>
      </c>
      <c r="B92" s="215">
        <v>0.4</v>
      </c>
      <c r="C92" s="145">
        <f t="shared" si="18"/>
        <v>213.85475109617542</v>
      </c>
      <c r="D92" s="41">
        <f t="shared" si="31"/>
        <v>213854.75109617543</v>
      </c>
      <c r="E92" s="200"/>
      <c r="F92" s="196">
        <f t="shared" si="26"/>
        <v>211.90600000000001</v>
      </c>
      <c r="G92" s="191">
        <f t="shared" si="27"/>
        <v>211906</v>
      </c>
      <c r="H92" s="33"/>
      <c r="I92" s="200"/>
      <c r="J92" s="230"/>
      <c r="K92" s="43">
        <f t="shared" si="32"/>
        <v>211.90600000000001</v>
      </c>
      <c r="L92" s="200">
        <v>211906</v>
      </c>
      <c r="M92" s="196">
        <f t="shared" si="30"/>
        <v>0</v>
      </c>
      <c r="N92" s="36"/>
      <c r="O92" s="43">
        <f t="shared" si="19"/>
        <v>0</v>
      </c>
      <c r="P92" s="191">
        <f t="shared" si="28"/>
        <v>0</v>
      </c>
      <c r="Q92" s="230"/>
      <c r="R92" s="43">
        <f t="shared" si="20"/>
        <v>0</v>
      </c>
      <c r="S92" s="200"/>
      <c r="T92" s="36"/>
      <c r="U92" s="210">
        <f t="shared" si="29"/>
        <v>213854.75109617543</v>
      </c>
      <c r="V92" s="36">
        <f t="shared" si="21"/>
        <v>213.85475109617542</v>
      </c>
      <c r="W92" s="36">
        <f t="shared" si="24"/>
        <v>211.90600000000001</v>
      </c>
      <c r="X92" s="230">
        <f t="shared" si="25"/>
        <v>0</v>
      </c>
      <c r="Y92" s="43">
        <f t="shared" si="25"/>
        <v>211.90600000000001</v>
      </c>
      <c r="Z92" s="47"/>
      <c r="AA92" s="47"/>
    </row>
    <row r="93" spans="1:27" s="117" customFormat="1" ht="9" hidden="1" customHeight="1" x14ac:dyDescent="0.15">
      <c r="A93" s="144"/>
      <c r="B93" s="215"/>
      <c r="C93" s="140"/>
      <c r="D93" s="41">
        <f t="shared" si="31"/>
        <v>0</v>
      </c>
      <c r="E93" s="200"/>
      <c r="F93" s="195">
        <f t="shared" si="26"/>
        <v>0</v>
      </c>
      <c r="G93" s="191">
        <f t="shared" si="27"/>
        <v>0</v>
      </c>
      <c r="H93" s="36"/>
      <c r="I93" s="200"/>
      <c r="J93" s="230"/>
      <c r="K93" s="41">
        <f t="shared" si="32"/>
        <v>0</v>
      </c>
      <c r="L93" s="200"/>
      <c r="M93" s="195">
        <f t="shared" si="30"/>
        <v>0</v>
      </c>
      <c r="N93" s="36"/>
      <c r="O93" s="43">
        <f t="shared" si="19"/>
        <v>0</v>
      </c>
      <c r="P93" s="191">
        <f>S93</f>
        <v>0</v>
      </c>
      <c r="Q93" s="230"/>
      <c r="R93" s="43"/>
      <c r="S93" s="200"/>
      <c r="T93" s="36"/>
      <c r="U93" s="210">
        <f t="shared" si="29"/>
        <v>0</v>
      </c>
      <c r="V93" s="36"/>
      <c r="W93" s="36"/>
      <c r="X93" s="230"/>
      <c r="Y93" s="41"/>
      <c r="Z93" s="47"/>
      <c r="AA93" s="47"/>
    </row>
    <row r="94" spans="1:27" s="179" customFormat="1" x14ac:dyDescent="0.15">
      <c r="A94" s="168" t="s">
        <v>83</v>
      </c>
      <c r="B94" s="216">
        <f>B95+B107</f>
        <v>7.2699999999999987</v>
      </c>
      <c r="C94" s="170">
        <f t="shared" ref="C94:C116" si="33">D94/1000</f>
        <v>7742.1242011729873</v>
      </c>
      <c r="D94" s="41">
        <f t="shared" si="31"/>
        <v>7742124.201172987</v>
      </c>
      <c r="E94" s="191">
        <f>E95+E107</f>
        <v>3855314.0999999996</v>
      </c>
      <c r="F94" s="191">
        <f t="shared" si="26"/>
        <v>9160.0939999999991</v>
      </c>
      <c r="G94" s="191">
        <f t="shared" si="27"/>
        <v>9160094</v>
      </c>
      <c r="H94" s="171">
        <f>H107+H95</f>
        <v>0</v>
      </c>
      <c r="I94" s="191">
        <f>I95+I107</f>
        <v>5303402</v>
      </c>
      <c r="J94" s="240">
        <f>J95+J107</f>
        <v>0</v>
      </c>
      <c r="K94" s="191">
        <f t="shared" si="32"/>
        <v>9160.0939999999991</v>
      </c>
      <c r="L94" s="191">
        <f>L95+L107</f>
        <v>9160094</v>
      </c>
      <c r="M94" s="191">
        <f t="shared" si="30"/>
        <v>-42.564349999999997</v>
      </c>
      <c r="N94" s="171">
        <f>N95+N107</f>
        <v>0</v>
      </c>
      <c r="O94" s="171">
        <f t="shared" si="19"/>
        <v>0</v>
      </c>
      <c r="P94" s="191">
        <f t="shared" ref="P94:P118" si="34">S94</f>
        <v>0</v>
      </c>
      <c r="Q94" s="191">
        <v>0</v>
      </c>
      <c r="R94" s="171">
        <f t="shared" ref="R94:R116" si="35">S94/1000*-1</f>
        <v>0</v>
      </c>
      <c r="S94" s="201">
        <f>S95+S107</f>
        <v>0</v>
      </c>
      <c r="T94" s="176">
        <f>T95+T107</f>
        <v>42564.35</v>
      </c>
      <c r="U94" s="210">
        <f t="shared" si="29"/>
        <v>3886810.1011729878</v>
      </c>
      <c r="V94" s="173">
        <f t="shared" ref="V94:V115" si="36">C94+M94</f>
        <v>7699.5598511729877</v>
      </c>
      <c r="W94" s="173">
        <f t="shared" ref="W94:W116" si="37">F94+O94</f>
        <v>9160.0939999999991</v>
      </c>
      <c r="X94" s="198">
        <f t="shared" ref="X94:Y116" si="38">J94+Q94</f>
        <v>0</v>
      </c>
      <c r="Y94" s="171">
        <f t="shared" si="38"/>
        <v>9160.0939999999991</v>
      </c>
      <c r="Z94" s="174"/>
      <c r="AA94" s="174"/>
    </row>
    <row r="95" spans="1:27" s="118" customFormat="1" ht="9.9499999999999993" customHeight="1" x14ac:dyDescent="0.15">
      <c r="A95" s="142" t="s">
        <v>200</v>
      </c>
      <c r="B95" s="212">
        <f>SUM(B96:B106)</f>
        <v>4.169999999999999</v>
      </c>
      <c r="C95" s="140">
        <f t="shared" si="33"/>
        <v>2767.3154101776286</v>
      </c>
      <c r="D95" s="41">
        <f t="shared" si="31"/>
        <v>2767315.4101776285</v>
      </c>
      <c r="E95" s="198">
        <f>SUM(E96:E106)</f>
        <v>537879.63000000012</v>
      </c>
      <c r="F95" s="195">
        <f t="shared" si="26"/>
        <v>3080.5230000000001</v>
      </c>
      <c r="G95" s="191">
        <f t="shared" si="27"/>
        <v>3080523</v>
      </c>
      <c r="H95" s="33">
        <f>SUM(H96:H105)</f>
        <v>0</v>
      </c>
      <c r="I95" s="198">
        <f>I96+I98+I99+I100+I101+I102+I103++I104+I106</f>
        <v>871402</v>
      </c>
      <c r="J95" s="234">
        <f>SUM(J96:J105)</f>
        <v>0</v>
      </c>
      <c r="K95" s="41">
        <f t="shared" si="32"/>
        <v>3080.5230000000001</v>
      </c>
      <c r="L95" s="198">
        <f>SUM(L96:L106)</f>
        <v>3080523</v>
      </c>
      <c r="M95" s="195">
        <f t="shared" si="30"/>
        <v>-42.564349999999997</v>
      </c>
      <c r="N95" s="33">
        <f>N100</f>
        <v>0</v>
      </c>
      <c r="O95" s="41">
        <f t="shared" si="19"/>
        <v>0</v>
      </c>
      <c r="P95" s="191">
        <f t="shared" si="34"/>
        <v>0</v>
      </c>
      <c r="Q95" s="231">
        <v>0</v>
      </c>
      <c r="R95" s="41">
        <f t="shared" si="35"/>
        <v>0</v>
      </c>
      <c r="S95" s="198"/>
      <c r="T95" s="33">
        <f>T100</f>
        <v>42564.35</v>
      </c>
      <c r="U95" s="210">
        <f t="shared" si="29"/>
        <v>2229435.7801776282</v>
      </c>
      <c r="V95" s="33">
        <f t="shared" si="36"/>
        <v>2724.7510601776285</v>
      </c>
      <c r="W95" s="33">
        <f t="shared" si="37"/>
        <v>3080.5230000000001</v>
      </c>
      <c r="X95" s="231">
        <f t="shared" si="38"/>
        <v>0</v>
      </c>
      <c r="Y95" s="41">
        <f t="shared" si="38"/>
        <v>3080.5230000000001</v>
      </c>
      <c r="Z95" s="47"/>
      <c r="AA95" s="47"/>
    </row>
    <row r="96" spans="1:27" s="117" customFormat="1" ht="9.9499999999999993" customHeight="1" x14ac:dyDescent="0.15">
      <c r="A96" s="144" t="s">
        <v>201</v>
      </c>
      <c r="B96" s="215">
        <v>0.86</v>
      </c>
      <c r="C96" s="145">
        <f t="shared" si="33"/>
        <v>939.42299485677711</v>
      </c>
      <c r="D96" s="41">
        <f t="shared" si="31"/>
        <v>939422.99485677714</v>
      </c>
      <c r="E96" s="200">
        <v>479635.28</v>
      </c>
      <c r="F96" s="196">
        <f t="shared" si="26"/>
        <v>1027</v>
      </c>
      <c r="G96" s="191">
        <f t="shared" si="27"/>
        <v>1027000</v>
      </c>
      <c r="H96" s="36"/>
      <c r="I96" s="200">
        <v>571402</v>
      </c>
      <c r="J96" s="230"/>
      <c r="K96" s="43">
        <f t="shared" si="32"/>
        <v>1027</v>
      </c>
      <c r="L96" s="200">
        <v>1027000</v>
      </c>
      <c r="M96" s="196">
        <f t="shared" si="30"/>
        <v>0</v>
      </c>
      <c r="N96" s="36"/>
      <c r="O96" s="43">
        <f t="shared" si="19"/>
        <v>0</v>
      </c>
      <c r="P96" s="191">
        <f t="shared" si="34"/>
        <v>0</v>
      </c>
      <c r="Q96" s="230">
        <v>0</v>
      </c>
      <c r="R96" s="43">
        <f t="shared" si="35"/>
        <v>0</v>
      </c>
      <c r="S96" s="200"/>
      <c r="T96" s="36"/>
      <c r="U96" s="210">
        <f t="shared" si="29"/>
        <v>459787.71485677717</v>
      </c>
      <c r="V96" s="36">
        <f t="shared" si="36"/>
        <v>939.42299485677711</v>
      </c>
      <c r="W96" s="36">
        <f t="shared" si="37"/>
        <v>1027</v>
      </c>
      <c r="X96" s="230">
        <f t="shared" si="38"/>
        <v>0</v>
      </c>
      <c r="Y96" s="43">
        <f t="shared" si="38"/>
        <v>1027</v>
      </c>
      <c r="Z96" s="47"/>
      <c r="AA96" s="47"/>
    </row>
    <row r="97" spans="1:27" s="117" customFormat="1" ht="9.9499999999999993" hidden="1" customHeight="1" x14ac:dyDescent="0.15">
      <c r="A97" s="144"/>
      <c r="B97" s="215"/>
      <c r="C97" s="145">
        <f t="shared" si="33"/>
        <v>0</v>
      </c>
      <c r="D97" s="41">
        <f t="shared" si="31"/>
        <v>0</v>
      </c>
      <c r="E97" s="200"/>
      <c r="F97" s="196">
        <f t="shared" si="26"/>
        <v>0</v>
      </c>
      <c r="G97" s="191">
        <f t="shared" si="27"/>
        <v>0</v>
      </c>
      <c r="H97" s="36"/>
      <c r="I97" s="200"/>
      <c r="J97" s="230"/>
      <c r="K97" s="43">
        <f t="shared" si="32"/>
        <v>0</v>
      </c>
      <c r="L97" s="200"/>
      <c r="M97" s="196">
        <f t="shared" si="30"/>
        <v>0</v>
      </c>
      <c r="N97" s="36"/>
      <c r="O97" s="43">
        <f t="shared" si="19"/>
        <v>0</v>
      </c>
      <c r="P97" s="191">
        <f t="shared" si="34"/>
        <v>0</v>
      </c>
      <c r="Q97" s="230">
        <v>0</v>
      </c>
      <c r="R97" s="43">
        <f t="shared" si="35"/>
        <v>0</v>
      </c>
      <c r="S97" s="200"/>
      <c r="T97" s="36"/>
      <c r="U97" s="210">
        <f t="shared" si="29"/>
        <v>0</v>
      </c>
      <c r="V97" s="36">
        <f t="shared" si="36"/>
        <v>0</v>
      </c>
      <c r="W97" s="36">
        <f t="shared" si="37"/>
        <v>0</v>
      </c>
      <c r="X97" s="230">
        <f t="shared" si="38"/>
        <v>0</v>
      </c>
      <c r="Y97" s="43">
        <f t="shared" si="38"/>
        <v>0</v>
      </c>
      <c r="Z97" s="47"/>
      <c r="AA97" s="47"/>
    </row>
    <row r="98" spans="1:27" s="117" customFormat="1" ht="9.9499999999999993" customHeight="1" x14ac:dyDescent="0.15">
      <c r="A98" s="144" t="s">
        <v>202</v>
      </c>
      <c r="B98" s="215">
        <v>0.25</v>
      </c>
      <c r="C98" s="145">
        <f t="shared" si="33"/>
        <v>137.63961943510964</v>
      </c>
      <c r="D98" s="41">
        <f t="shared" si="31"/>
        <v>137639.61943510963</v>
      </c>
      <c r="E98" s="200">
        <v>3980.4</v>
      </c>
      <c r="F98" s="196">
        <f t="shared" si="26"/>
        <v>132.441</v>
      </c>
      <c r="G98" s="191">
        <f t="shared" si="27"/>
        <v>132441</v>
      </c>
      <c r="H98" s="36"/>
      <c r="I98" s="200"/>
      <c r="J98" s="230"/>
      <c r="K98" s="43">
        <f t="shared" si="32"/>
        <v>132.441</v>
      </c>
      <c r="L98" s="200">
        <v>132441</v>
      </c>
      <c r="M98" s="196">
        <f t="shared" si="30"/>
        <v>0</v>
      </c>
      <c r="N98" s="36"/>
      <c r="O98" s="43">
        <f t="shared" si="19"/>
        <v>0</v>
      </c>
      <c r="P98" s="191">
        <f t="shared" si="34"/>
        <v>0</v>
      </c>
      <c r="Q98" s="230">
        <v>0</v>
      </c>
      <c r="R98" s="43">
        <f t="shared" si="35"/>
        <v>0</v>
      </c>
      <c r="S98" s="200"/>
      <c r="T98" s="36"/>
      <c r="U98" s="210">
        <f t="shared" si="29"/>
        <v>133659.21943510964</v>
      </c>
      <c r="V98" s="36">
        <f t="shared" si="36"/>
        <v>137.63961943510964</v>
      </c>
      <c r="W98" s="36">
        <f t="shared" si="37"/>
        <v>132.441</v>
      </c>
      <c r="X98" s="230">
        <f t="shared" si="38"/>
        <v>0</v>
      </c>
      <c r="Y98" s="43">
        <f t="shared" si="38"/>
        <v>132.441</v>
      </c>
      <c r="Z98" s="47"/>
      <c r="AA98" s="47"/>
    </row>
    <row r="99" spans="1:27" s="117" customFormat="1" ht="9.9499999999999993" customHeight="1" x14ac:dyDescent="0.15">
      <c r="A99" s="144" t="s">
        <v>203</v>
      </c>
      <c r="B99" s="215">
        <v>1.48</v>
      </c>
      <c r="C99" s="145">
        <f t="shared" si="33"/>
        <v>845.16711905584918</v>
      </c>
      <c r="D99" s="41">
        <f t="shared" si="31"/>
        <v>845167.11905584915</v>
      </c>
      <c r="E99" s="200">
        <v>53904.54</v>
      </c>
      <c r="F99" s="196">
        <f t="shared" si="26"/>
        <v>834.05200000000002</v>
      </c>
      <c r="G99" s="191">
        <f t="shared" si="27"/>
        <v>834052</v>
      </c>
      <c r="H99" s="36"/>
      <c r="I99" s="200">
        <v>50000</v>
      </c>
      <c r="J99" s="230"/>
      <c r="K99" s="43">
        <f t="shared" si="32"/>
        <v>834.05200000000002</v>
      </c>
      <c r="L99" s="200">
        <v>834052</v>
      </c>
      <c r="M99" s="196">
        <f t="shared" si="30"/>
        <v>0</v>
      </c>
      <c r="N99" s="36"/>
      <c r="O99" s="43">
        <f t="shared" si="19"/>
        <v>0</v>
      </c>
      <c r="P99" s="191">
        <f t="shared" si="34"/>
        <v>0</v>
      </c>
      <c r="Q99" s="230">
        <v>0</v>
      </c>
      <c r="R99" s="43">
        <f t="shared" si="35"/>
        <v>0</v>
      </c>
      <c r="S99" s="200"/>
      <c r="T99" s="36"/>
      <c r="U99" s="210">
        <f t="shared" si="29"/>
        <v>791262.57905584911</v>
      </c>
      <c r="V99" s="36">
        <f t="shared" si="36"/>
        <v>845.16711905584918</v>
      </c>
      <c r="W99" s="36">
        <f t="shared" si="37"/>
        <v>834.05200000000002</v>
      </c>
      <c r="X99" s="230">
        <f t="shared" si="38"/>
        <v>0</v>
      </c>
      <c r="Y99" s="43">
        <f t="shared" si="38"/>
        <v>834.05200000000002</v>
      </c>
      <c r="Z99" s="47"/>
      <c r="AA99" s="47"/>
    </row>
    <row r="100" spans="1:27" s="117" customFormat="1" ht="9.9499999999999993" customHeight="1" x14ac:dyDescent="0.15">
      <c r="A100" s="144" t="s">
        <v>204</v>
      </c>
      <c r="B100" s="215">
        <v>0.1</v>
      </c>
      <c r="C100" s="145">
        <f t="shared" si="33"/>
        <v>53.175997774043864</v>
      </c>
      <c r="D100" s="41">
        <f t="shared" si="31"/>
        <v>53175.997774043863</v>
      </c>
      <c r="E100" s="200">
        <f>-11190.64+10902.95</f>
        <v>-287.68999999999869</v>
      </c>
      <c r="F100" s="196">
        <f t="shared" si="26"/>
        <v>252.977</v>
      </c>
      <c r="G100" s="191">
        <f t="shared" si="27"/>
        <v>252977</v>
      </c>
      <c r="H100" s="36"/>
      <c r="I100" s="200">
        <v>200000</v>
      </c>
      <c r="J100" s="230"/>
      <c r="K100" s="43">
        <f t="shared" si="32"/>
        <v>252.977</v>
      </c>
      <c r="L100" s="200">
        <v>252977</v>
      </c>
      <c r="M100" s="196">
        <f t="shared" si="30"/>
        <v>-42.564349999999997</v>
      </c>
      <c r="N100" s="36"/>
      <c r="O100" s="43">
        <f t="shared" ref="O100:O116" si="39">P100/1000*-1</f>
        <v>0</v>
      </c>
      <c r="P100" s="191">
        <f t="shared" si="34"/>
        <v>0</v>
      </c>
      <c r="Q100" s="230">
        <v>0</v>
      </c>
      <c r="R100" s="43">
        <f t="shared" si="35"/>
        <v>0</v>
      </c>
      <c r="S100" s="200"/>
      <c r="T100" s="36">
        <f>38273.92+4290.43</f>
        <v>42564.35</v>
      </c>
      <c r="U100" s="210">
        <f t="shared" si="29"/>
        <v>53463.687774043858</v>
      </c>
      <c r="V100" s="36">
        <f t="shared" si="36"/>
        <v>10.611647774043867</v>
      </c>
      <c r="W100" s="36">
        <f t="shared" si="37"/>
        <v>252.977</v>
      </c>
      <c r="X100" s="230">
        <f t="shared" si="38"/>
        <v>0</v>
      </c>
      <c r="Y100" s="43">
        <f t="shared" si="38"/>
        <v>252.977</v>
      </c>
      <c r="Z100" s="47"/>
      <c r="AA100" s="47"/>
    </row>
    <row r="101" spans="1:27" s="117" customFormat="1" ht="9.9499999999999993" customHeight="1" x14ac:dyDescent="0.15">
      <c r="A101" s="144" t="s">
        <v>205</v>
      </c>
      <c r="B101" s="215">
        <v>0.88</v>
      </c>
      <c r="C101" s="145">
        <f t="shared" si="33"/>
        <v>470.48045241158593</v>
      </c>
      <c r="D101" s="41">
        <f t="shared" si="31"/>
        <v>470480.45241158595</v>
      </c>
      <c r="E101" s="200">
        <f>1663167.81-1663167.81</f>
        <v>0</v>
      </c>
      <c r="F101" s="196">
        <f t="shared" si="26"/>
        <v>466.19299999999998</v>
      </c>
      <c r="G101" s="191">
        <f t="shared" si="27"/>
        <v>466193</v>
      </c>
      <c r="H101" s="36"/>
      <c r="I101" s="200"/>
      <c r="J101" s="230"/>
      <c r="K101" s="43">
        <f t="shared" si="32"/>
        <v>466.19299999999998</v>
      </c>
      <c r="L101" s="200">
        <v>466193</v>
      </c>
      <c r="M101" s="196">
        <f t="shared" si="30"/>
        <v>0</v>
      </c>
      <c r="N101" s="36"/>
      <c r="O101" s="43">
        <f t="shared" si="39"/>
        <v>0</v>
      </c>
      <c r="P101" s="191">
        <f t="shared" si="34"/>
        <v>0</v>
      </c>
      <c r="Q101" s="230">
        <v>0</v>
      </c>
      <c r="R101" s="43">
        <f t="shared" si="35"/>
        <v>0</v>
      </c>
      <c r="S101" s="200"/>
      <c r="T101" s="36"/>
      <c r="U101" s="210">
        <f t="shared" si="29"/>
        <v>470480.45241158595</v>
      </c>
      <c r="V101" s="36">
        <f t="shared" si="36"/>
        <v>470.48045241158593</v>
      </c>
      <c r="W101" s="36">
        <f t="shared" si="37"/>
        <v>466.19299999999998</v>
      </c>
      <c r="X101" s="230">
        <f t="shared" si="38"/>
        <v>0</v>
      </c>
      <c r="Y101" s="43">
        <f t="shared" si="38"/>
        <v>466.19299999999998</v>
      </c>
      <c r="Z101" s="47"/>
      <c r="AA101" s="47"/>
    </row>
    <row r="102" spans="1:27" s="117" customFormat="1" ht="9.9499999999999993" customHeight="1" x14ac:dyDescent="0.15">
      <c r="A102" s="144" t="s">
        <v>206</v>
      </c>
      <c r="B102" s="215">
        <v>0.3</v>
      </c>
      <c r="C102" s="145">
        <f t="shared" si="33"/>
        <v>160.78816332213157</v>
      </c>
      <c r="D102" s="41">
        <f t="shared" si="31"/>
        <v>160788.16332213156</v>
      </c>
      <c r="E102" s="200">
        <v>397.1</v>
      </c>
      <c r="F102" s="196">
        <f t="shared" si="26"/>
        <v>158.93</v>
      </c>
      <c r="G102" s="191">
        <f t="shared" si="27"/>
        <v>158930</v>
      </c>
      <c r="H102" s="36"/>
      <c r="I102" s="200"/>
      <c r="J102" s="230"/>
      <c r="K102" s="43">
        <f t="shared" si="32"/>
        <v>158.93</v>
      </c>
      <c r="L102" s="200">
        <v>158930</v>
      </c>
      <c r="M102" s="196">
        <f t="shared" si="30"/>
        <v>0</v>
      </c>
      <c r="N102" s="36"/>
      <c r="O102" s="43">
        <f t="shared" si="39"/>
        <v>0</v>
      </c>
      <c r="P102" s="191">
        <f t="shared" si="34"/>
        <v>0</v>
      </c>
      <c r="Q102" s="230">
        <v>0</v>
      </c>
      <c r="R102" s="43">
        <f t="shared" si="35"/>
        <v>0</v>
      </c>
      <c r="S102" s="200"/>
      <c r="T102" s="36"/>
      <c r="U102" s="210">
        <f t="shared" si="29"/>
        <v>160391.06332213155</v>
      </c>
      <c r="V102" s="36">
        <f t="shared" si="36"/>
        <v>160.78816332213157</v>
      </c>
      <c r="W102" s="36">
        <f t="shared" si="37"/>
        <v>158.93</v>
      </c>
      <c r="X102" s="230">
        <f t="shared" si="38"/>
        <v>0</v>
      </c>
      <c r="Y102" s="43">
        <f t="shared" si="38"/>
        <v>158.93</v>
      </c>
      <c r="Z102" s="47"/>
      <c r="AA102" s="47"/>
    </row>
    <row r="103" spans="1:27" s="117" customFormat="1" ht="9.9499999999999993" customHeight="1" x14ac:dyDescent="0.15">
      <c r="A103" s="144" t="s">
        <v>207</v>
      </c>
      <c r="B103" s="215">
        <v>0.2</v>
      </c>
      <c r="C103" s="145">
        <f t="shared" si="33"/>
        <v>107.17737554808771</v>
      </c>
      <c r="D103" s="41">
        <f t="shared" si="31"/>
        <v>107177.37554808772</v>
      </c>
      <c r="E103" s="200">
        <v>250</v>
      </c>
      <c r="F103" s="196">
        <f t="shared" si="26"/>
        <v>105.953</v>
      </c>
      <c r="G103" s="191">
        <f t="shared" si="27"/>
        <v>105953</v>
      </c>
      <c r="H103" s="36"/>
      <c r="I103" s="200"/>
      <c r="J103" s="230"/>
      <c r="K103" s="43">
        <f t="shared" si="32"/>
        <v>105.953</v>
      </c>
      <c r="L103" s="200">
        <v>105953</v>
      </c>
      <c r="M103" s="196">
        <f t="shared" si="30"/>
        <v>0</v>
      </c>
      <c r="N103" s="36"/>
      <c r="O103" s="43">
        <f t="shared" si="39"/>
        <v>0</v>
      </c>
      <c r="P103" s="191">
        <f t="shared" si="34"/>
        <v>0</v>
      </c>
      <c r="Q103" s="230">
        <v>0</v>
      </c>
      <c r="R103" s="43">
        <f t="shared" si="35"/>
        <v>0</v>
      </c>
      <c r="S103" s="200"/>
      <c r="T103" s="36"/>
      <c r="U103" s="210">
        <f t="shared" si="29"/>
        <v>106927.37554808772</v>
      </c>
      <c r="V103" s="36">
        <f t="shared" si="36"/>
        <v>107.17737554808771</v>
      </c>
      <c r="W103" s="36">
        <f t="shared" si="37"/>
        <v>105.953</v>
      </c>
      <c r="X103" s="230">
        <f t="shared" si="38"/>
        <v>0</v>
      </c>
      <c r="Y103" s="43">
        <f t="shared" si="38"/>
        <v>105.953</v>
      </c>
      <c r="Z103" s="47"/>
      <c r="AA103" s="47"/>
    </row>
    <row r="104" spans="1:27" s="117" customFormat="1" ht="9.9499999999999993" customHeight="1" x14ac:dyDescent="0.15">
      <c r="A104" s="144" t="s">
        <v>208</v>
      </c>
      <c r="B104" s="215">
        <v>0.1</v>
      </c>
      <c r="C104" s="145">
        <f t="shared" si="33"/>
        <v>53.463687774043855</v>
      </c>
      <c r="D104" s="41">
        <f t="shared" si="31"/>
        <v>53463.687774043858</v>
      </c>
      <c r="E104" s="200"/>
      <c r="F104" s="196">
        <f t="shared" si="26"/>
        <v>102.977</v>
      </c>
      <c r="G104" s="191">
        <f t="shared" si="27"/>
        <v>102977</v>
      </c>
      <c r="H104" s="36"/>
      <c r="I104" s="200">
        <v>50000</v>
      </c>
      <c r="J104" s="230"/>
      <c r="K104" s="43">
        <f t="shared" si="32"/>
        <v>102.977</v>
      </c>
      <c r="L104" s="200">
        <v>102977</v>
      </c>
      <c r="M104" s="196">
        <f t="shared" si="30"/>
        <v>0</v>
      </c>
      <c r="N104" s="36"/>
      <c r="O104" s="43">
        <f t="shared" si="39"/>
        <v>0</v>
      </c>
      <c r="P104" s="191">
        <f t="shared" si="34"/>
        <v>0</v>
      </c>
      <c r="Q104" s="230">
        <v>0</v>
      </c>
      <c r="R104" s="43">
        <f t="shared" si="35"/>
        <v>0</v>
      </c>
      <c r="S104" s="200"/>
      <c r="T104" s="36"/>
      <c r="U104" s="210">
        <f t="shared" si="29"/>
        <v>53463.687774043858</v>
      </c>
      <c r="V104" s="36">
        <f t="shared" si="36"/>
        <v>53.463687774043855</v>
      </c>
      <c r="W104" s="36">
        <f t="shared" si="37"/>
        <v>102.977</v>
      </c>
      <c r="X104" s="230">
        <f t="shared" si="38"/>
        <v>0</v>
      </c>
      <c r="Y104" s="43">
        <f t="shared" si="38"/>
        <v>102.977</v>
      </c>
      <c r="Z104" s="47"/>
      <c r="AA104" s="47"/>
    </row>
    <row r="105" spans="1:27" s="117" customFormat="1" ht="9.9499999999999993" customHeight="1" x14ac:dyDescent="0.15">
      <c r="A105" s="144" t="s">
        <v>209</v>
      </c>
      <c r="B105" s="215">
        <v>0</v>
      </c>
      <c r="C105" s="145">
        <v>0</v>
      </c>
      <c r="D105" s="41">
        <f t="shared" si="31"/>
        <v>0</v>
      </c>
      <c r="E105" s="200"/>
      <c r="F105" s="196">
        <f t="shared" si="26"/>
        <v>0</v>
      </c>
      <c r="G105" s="191">
        <f t="shared" si="27"/>
        <v>0</v>
      </c>
      <c r="H105" s="36"/>
      <c r="I105" s="200"/>
      <c r="J105" s="230"/>
      <c r="K105" s="43">
        <f t="shared" si="32"/>
        <v>0</v>
      </c>
      <c r="L105" s="200"/>
      <c r="M105" s="196">
        <f t="shared" si="30"/>
        <v>0</v>
      </c>
      <c r="N105" s="36"/>
      <c r="O105" s="43"/>
      <c r="P105" s="191">
        <f t="shared" si="34"/>
        <v>0</v>
      </c>
      <c r="Q105" s="230"/>
      <c r="R105" s="43">
        <v>0</v>
      </c>
      <c r="S105" s="200"/>
      <c r="T105" s="36"/>
      <c r="U105" s="210">
        <f t="shared" si="29"/>
        <v>0</v>
      </c>
      <c r="V105" s="36">
        <f t="shared" si="36"/>
        <v>0</v>
      </c>
      <c r="W105" s="36">
        <f t="shared" si="37"/>
        <v>0</v>
      </c>
      <c r="X105" s="230">
        <f t="shared" si="38"/>
        <v>0</v>
      </c>
      <c r="Y105" s="43">
        <f t="shared" si="38"/>
        <v>0</v>
      </c>
      <c r="Z105" s="47"/>
      <c r="AA105" s="47"/>
    </row>
    <row r="106" spans="1:27" s="117" customFormat="1" ht="9.9499999999999993" hidden="1" customHeight="1" x14ac:dyDescent="0.15">
      <c r="A106" s="144"/>
      <c r="B106" s="215"/>
      <c r="C106" s="145">
        <f t="shared" si="33"/>
        <v>0</v>
      </c>
      <c r="D106" s="41">
        <f t="shared" si="31"/>
        <v>0</v>
      </c>
      <c r="E106" s="200"/>
      <c r="F106" s="195">
        <f t="shared" si="26"/>
        <v>0</v>
      </c>
      <c r="G106" s="191">
        <f t="shared" si="27"/>
        <v>0</v>
      </c>
      <c r="H106" s="36"/>
      <c r="I106" s="200"/>
      <c r="J106" s="230"/>
      <c r="K106" s="41">
        <f t="shared" si="32"/>
        <v>0</v>
      </c>
      <c r="L106" s="200"/>
      <c r="M106" s="195">
        <f t="shared" si="30"/>
        <v>0</v>
      </c>
      <c r="N106" s="36"/>
      <c r="O106" s="43">
        <f t="shared" si="39"/>
        <v>0</v>
      </c>
      <c r="P106" s="191">
        <f t="shared" si="34"/>
        <v>0</v>
      </c>
      <c r="Q106" s="230">
        <v>0</v>
      </c>
      <c r="R106" s="43">
        <f t="shared" si="35"/>
        <v>0</v>
      </c>
      <c r="S106" s="200"/>
      <c r="T106" s="36"/>
      <c r="U106" s="210">
        <f t="shared" si="29"/>
        <v>0</v>
      </c>
      <c r="V106" s="36">
        <f t="shared" si="36"/>
        <v>0</v>
      </c>
      <c r="W106" s="36">
        <f t="shared" si="37"/>
        <v>0</v>
      </c>
      <c r="X106" s="230">
        <f t="shared" si="38"/>
        <v>0</v>
      </c>
      <c r="Y106" s="43">
        <f t="shared" si="38"/>
        <v>0</v>
      </c>
      <c r="Z106" s="47"/>
      <c r="AA106" s="47"/>
    </row>
    <row r="107" spans="1:27" s="118" customFormat="1" ht="9.9499999999999993" customHeight="1" x14ac:dyDescent="0.15">
      <c r="A107" s="142" t="s">
        <v>239</v>
      </c>
      <c r="B107" s="212">
        <f>SUM(B108:B116)</f>
        <v>3.0999999999999996</v>
      </c>
      <c r="C107" s="140">
        <f t="shared" si="33"/>
        <v>4974.8087909953592</v>
      </c>
      <c r="D107" s="41">
        <f>E107+U107</f>
        <v>4974808.7909953594</v>
      </c>
      <c r="E107" s="198">
        <f>SUM(E108:E116)</f>
        <v>3317434.4699999997</v>
      </c>
      <c r="F107" s="195">
        <f t="shared" si="26"/>
        <v>6079.5709999999999</v>
      </c>
      <c r="G107" s="191">
        <f t="shared" si="27"/>
        <v>6079571</v>
      </c>
      <c r="H107" s="33">
        <f>SUM(H108:H116)</f>
        <v>0</v>
      </c>
      <c r="I107" s="198">
        <f>SUM(I108:I116)</f>
        <v>4432000</v>
      </c>
      <c r="J107" s="231">
        <f>SUM(J108:J116)</f>
        <v>0</v>
      </c>
      <c r="K107" s="41">
        <f t="shared" si="32"/>
        <v>6079.5709999999999</v>
      </c>
      <c r="L107" s="198">
        <f>SUM(L108:L116)</f>
        <v>6079571</v>
      </c>
      <c r="M107" s="195">
        <f t="shared" si="30"/>
        <v>0</v>
      </c>
      <c r="N107" s="33"/>
      <c r="O107" s="41">
        <f t="shared" si="39"/>
        <v>0</v>
      </c>
      <c r="P107" s="191">
        <f t="shared" si="34"/>
        <v>0</v>
      </c>
      <c r="Q107" s="231">
        <v>0</v>
      </c>
      <c r="R107" s="41">
        <f t="shared" si="35"/>
        <v>0</v>
      </c>
      <c r="S107" s="198"/>
      <c r="T107" s="33"/>
      <c r="U107" s="210">
        <f t="shared" si="29"/>
        <v>1657374.3209953594</v>
      </c>
      <c r="V107" s="33">
        <f t="shared" si="36"/>
        <v>4974.8087909953592</v>
      </c>
      <c r="W107" s="33">
        <f t="shared" si="37"/>
        <v>6079.5709999999999</v>
      </c>
      <c r="X107" s="231">
        <f t="shared" si="38"/>
        <v>0</v>
      </c>
      <c r="Y107" s="41">
        <f t="shared" si="38"/>
        <v>6079.5709999999999</v>
      </c>
      <c r="Z107" s="47"/>
      <c r="AA107" s="47"/>
    </row>
    <row r="108" spans="1:27" s="117" customFormat="1" ht="9.9499999999999993" customHeight="1" x14ac:dyDescent="0.15">
      <c r="A108" s="144" t="s">
        <v>210</v>
      </c>
      <c r="B108" s="215">
        <v>0</v>
      </c>
      <c r="C108" s="145">
        <f t="shared" si="33"/>
        <v>1663.1678100000001</v>
      </c>
      <c r="D108" s="41">
        <f t="shared" si="31"/>
        <v>1663167.81</v>
      </c>
      <c r="E108" s="200">
        <v>1663167.81</v>
      </c>
      <c r="F108" s="196">
        <f t="shared" si="26"/>
        <v>2000</v>
      </c>
      <c r="G108" s="191">
        <f t="shared" si="27"/>
        <v>2000000</v>
      </c>
      <c r="H108" s="36"/>
      <c r="I108" s="200">
        <v>2000000</v>
      </c>
      <c r="J108" s="230"/>
      <c r="K108" s="43">
        <f t="shared" si="32"/>
        <v>2000</v>
      </c>
      <c r="L108" s="200">
        <v>2000000</v>
      </c>
      <c r="M108" s="196">
        <f t="shared" si="30"/>
        <v>0</v>
      </c>
      <c r="N108" s="36"/>
      <c r="O108" s="43">
        <f t="shared" si="39"/>
        <v>0</v>
      </c>
      <c r="P108" s="191">
        <f t="shared" si="34"/>
        <v>0</v>
      </c>
      <c r="Q108" s="230">
        <v>0</v>
      </c>
      <c r="R108" s="43">
        <f t="shared" si="35"/>
        <v>0</v>
      </c>
      <c r="S108" s="200"/>
      <c r="T108" s="36"/>
      <c r="U108" s="210">
        <f>$U$8/$B$8*B108</f>
        <v>0</v>
      </c>
      <c r="V108" s="36">
        <f t="shared" si="36"/>
        <v>1663.1678100000001</v>
      </c>
      <c r="W108" s="36">
        <f t="shared" si="37"/>
        <v>2000</v>
      </c>
      <c r="X108" s="230">
        <f t="shared" si="38"/>
        <v>0</v>
      </c>
      <c r="Y108" s="43">
        <f t="shared" si="38"/>
        <v>2000</v>
      </c>
      <c r="Z108" s="47"/>
      <c r="AA108" s="47"/>
    </row>
    <row r="109" spans="1:27" s="117" customFormat="1" ht="9.9499999999999993" customHeight="1" x14ac:dyDescent="0.15">
      <c r="A109" s="144" t="s">
        <v>211</v>
      </c>
      <c r="B109" s="215">
        <v>0.1</v>
      </c>
      <c r="C109" s="145">
        <f t="shared" si="33"/>
        <v>209.64975777404385</v>
      </c>
      <c r="D109" s="41">
        <f t="shared" si="31"/>
        <v>209649.75777404386</v>
      </c>
      <c r="E109" s="200">
        <v>156186.07</v>
      </c>
      <c r="F109" s="196">
        <f t="shared" si="26"/>
        <v>102.977</v>
      </c>
      <c r="G109" s="191">
        <f t="shared" si="27"/>
        <v>102977</v>
      </c>
      <c r="H109" s="36"/>
      <c r="I109" s="200">
        <v>50000</v>
      </c>
      <c r="J109" s="230"/>
      <c r="K109" s="43">
        <f t="shared" si="32"/>
        <v>102.977</v>
      </c>
      <c r="L109" s="200">
        <v>102977</v>
      </c>
      <c r="M109" s="196">
        <f t="shared" si="30"/>
        <v>0</v>
      </c>
      <c r="N109" s="36"/>
      <c r="O109" s="43">
        <f t="shared" si="39"/>
        <v>0</v>
      </c>
      <c r="P109" s="191">
        <f t="shared" si="34"/>
        <v>0</v>
      </c>
      <c r="Q109" s="230">
        <v>0</v>
      </c>
      <c r="R109" s="43">
        <f t="shared" si="35"/>
        <v>0</v>
      </c>
      <c r="S109" s="200"/>
      <c r="T109" s="36"/>
      <c r="U109" s="210">
        <f t="shared" si="29"/>
        <v>53463.687774043858</v>
      </c>
      <c r="V109" s="36">
        <f t="shared" si="36"/>
        <v>209.64975777404385</v>
      </c>
      <c r="W109" s="36">
        <f t="shared" si="37"/>
        <v>102.977</v>
      </c>
      <c r="X109" s="230">
        <f t="shared" si="38"/>
        <v>0</v>
      </c>
      <c r="Y109" s="43">
        <f t="shared" si="38"/>
        <v>102.977</v>
      </c>
      <c r="Z109" s="47"/>
      <c r="AA109" s="47"/>
    </row>
    <row r="110" spans="1:27" s="117" customFormat="1" ht="9.9499999999999993" customHeight="1" x14ac:dyDescent="0.15">
      <c r="A110" s="144" t="s">
        <v>212</v>
      </c>
      <c r="B110" s="215">
        <v>0.15</v>
      </c>
      <c r="C110" s="145">
        <f t="shared" si="33"/>
        <v>242.18578166106576</v>
      </c>
      <c r="D110" s="41">
        <f t="shared" si="31"/>
        <v>242185.78166106576</v>
      </c>
      <c r="E110" s="200">
        <v>161990.25</v>
      </c>
      <c r="F110" s="196">
        <f t="shared" si="26"/>
        <v>421.46499999999997</v>
      </c>
      <c r="G110" s="191">
        <f t="shared" si="27"/>
        <v>421465</v>
      </c>
      <c r="H110" s="36"/>
      <c r="I110" s="200">
        <v>342000</v>
      </c>
      <c r="J110" s="230"/>
      <c r="K110" s="43">
        <f t="shared" si="32"/>
        <v>421.46499999999997</v>
      </c>
      <c r="L110" s="200">
        <v>421465</v>
      </c>
      <c r="M110" s="196">
        <f t="shared" si="30"/>
        <v>0</v>
      </c>
      <c r="N110" s="36"/>
      <c r="O110" s="43">
        <f t="shared" si="39"/>
        <v>0</v>
      </c>
      <c r="P110" s="191">
        <f t="shared" si="34"/>
        <v>0</v>
      </c>
      <c r="Q110" s="230">
        <v>0</v>
      </c>
      <c r="R110" s="43">
        <f t="shared" si="35"/>
        <v>0</v>
      </c>
      <c r="S110" s="200"/>
      <c r="T110" s="36"/>
      <c r="U110" s="210">
        <f t="shared" si="29"/>
        <v>80195.531661065776</v>
      </c>
      <c r="V110" s="36">
        <f t="shared" si="36"/>
        <v>242.18578166106576</v>
      </c>
      <c r="W110" s="36">
        <f t="shared" si="37"/>
        <v>421.46499999999997</v>
      </c>
      <c r="X110" s="230">
        <f t="shared" si="38"/>
        <v>0</v>
      </c>
      <c r="Y110" s="43">
        <f t="shared" si="38"/>
        <v>421.46499999999997</v>
      </c>
      <c r="Z110" s="47"/>
      <c r="AA110" s="47"/>
    </row>
    <row r="111" spans="1:27" s="117" customFormat="1" ht="9.9499999999999993" customHeight="1" x14ac:dyDescent="0.15">
      <c r="A111" s="144" t="s">
        <v>213</v>
      </c>
      <c r="B111" s="215">
        <v>0.1</v>
      </c>
      <c r="C111" s="145">
        <f t="shared" si="33"/>
        <v>92.845267774043862</v>
      </c>
      <c r="D111" s="41">
        <f t="shared" si="31"/>
        <v>92845.267774043867</v>
      </c>
      <c r="E111" s="200">
        <v>39381.58</v>
      </c>
      <c r="F111" s="196">
        <f t="shared" si="26"/>
        <v>252.977</v>
      </c>
      <c r="G111" s="191">
        <f t="shared" si="27"/>
        <v>252977</v>
      </c>
      <c r="H111" s="36"/>
      <c r="I111" s="200">
        <v>200000</v>
      </c>
      <c r="J111" s="230"/>
      <c r="K111" s="43">
        <f t="shared" si="32"/>
        <v>252.977</v>
      </c>
      <c r="L111" s="200">
        <v>252977</v>
      </c>
      <c r="M111" s="196">
        <f t="shared" si="30"/>
        <v>0</v>
      </c>
      <c r="N111" s="36"/>
      <c r="O111" s="43">
        <f t="shared" si="39"/>
        <v>0</v>
      </c>
      <c r="P111" s="191">
        <f t="shared" si="34"/>
        <v>0</v>
      </c>
      <c r="Q111" s="230">
        <v>0</v>
      </c>
      <c r="R111" s="43">
        <f t="shared" si="35"/>
        <v>0</v>
      </c>
      <c r="S111" s="200"/>
      <c r="T111" s="36"/>
      <c r="U111" s="210">
        <f t="shared" si="29"/>
        <v>53463.687774043858</v>
      </c>
      <c r="V111" s="36">
        <f t="shared" si="36"/>
        <v>92.845267774043862</v>
      </c>
      <c r="W111" s="36">
        <f t="shared" si="37"/>
        <v>252.977</v>
      </c>
      <c r="X111" s="230">
        <f t="shared" si="38"/>
        <v>0</v>
      </c>
      <c r="Y111" s="43">
        <f t="shared" si="38"/>
        <v>252.977</v>
      </c>
      <c r="Z111" s="47"/>
      <c r="AA111" s="47"/>
    </row>
    <row r="112" spans="1:27" s="117" customFormat="1" ht="9.9499999999999993" customHeight="1" x14ac:dyDescent="0.15">
      <c r="A112" s="144" t="s">
        <v>214</v>
      </c>
      <c r="B112" s="215">
        <v>0.6</v>
      </c>
      <c r="C112" s="145">
        <f t="shared" si="33"/>
        <v>1299.3283366442631</v>
      </c>
      <c r="D112" s="41">
        <f t="shared" si="31"/>
        <v>1299328.336644263</v>
      </c>
      <c r="E112" s="200">
        <f>1378546.21-400000</f>
        <v>978546.21</v>
      </c>
      <c r="F112" s="196">
        <f t="shared" si="26"/>
        <v>1917.8589999999999</v>
      </c>
      <c r="G112" s="191">
        <f t="shared" si="27"/>
        <v>1917859</v>
      </c>
      <c r="H112" s="36"/>
      <c r="I112" s="200">
        <v>1600000</v>
      </c>
      <c r="J112" s="230"/>
      <c r="K112" s="43">
        <f t="shared" si="32"/>
        <v>1917.8589999999999</v>
      </c>
      <c r="L112" s="200">
        <v>1917859</v>
      </c>
      <c r="M112" s="196">
        <f t="shared" si="30"/>
        <v>0</v>
      </c>
      <c r="N112" s="36"/>
      <c r="O112" s="43">
        <f t="shared" si="39"/>
        <v>0</v>
      </c>
      <c r="P112" s="191">
        <f t="shared" si="34"/>
        <v>0</v>
      </c>
      <c r="Q112" s="230">
        <v>0</v>
      </c>
      <c r="R112" s="43">
        <f t="shared" si="35"/>
        <v>0</v>
      </c>
      <c r="S112" s="200"/>
      <c r="T112" s="36"/>
      <c r="U112" s="210">
        <f t="shared" si="29"/>
        <v>320782.1266442631</v>
      </c>
      <c r="V112" s="36">
        <f t="shared" si="36"/>
        <v>1299.3283366442631</v>
      </c>
      <c r="W112" s="36">
        <f t="shared" si="37"/>
        <v>1917.8589999999999</v>
      </c>
      <c r="X112" s="230">
        <f t="shared" si="38"/>
        <v>0</v>
      </c>
      <c r="Y112" s="43">
        <f t="shared" si="38"/>
        <v>1917.8589999999999</v>
      </c>
      <c r="Z112" s="47"/>
      <c r="AA112" s="47"/>
    </row>
    <row r="113" spans="1:27" s="117" customFormat="1" ht="9.9499999999999993" customHeight="1" x14ac:dyDescent="0.15">
      <c r="A113" s="144" t="s">
        <v>215</v>
      </c>
      <c r="B113" s="215">
        <v>0.45</v>
      </c>
      <c r="C113" s="145">
        <f t="shared" si="33"/>
        <v>394.28586498319737</v>
      </c>
      <c r="D113" s="41">
        <f t="shared" si="31"/>
        <v>394285.86498319736</v>
      </c>
      <c r="E113" s="200">
        <v>153699.26999999999</v>
      </c>
      <c r="F113" s="196">
        <f t="shared" si="26"/>
        <v>358.39400000000001</v>
      </c>
      <c r="G113" s="191">
        <f t="shared" si="27"/>
        <v>358394</v>
      </c>
      <c r="H113" s="36"/>
      <c r="I113" s="200">
        <v>120000</v>
      </c>
      <c r="J113" s="230"/>
      <c r="K113" s="43">
        <f t="shared" si="32"/>
        <v>358.39400000000001</v>
      </c>
      <c r="L113" s="200">
        <v>358394</v>
      </c>
      <c r="M113" s="196">
        <f t="shared" si="30"/>
        <v>0</v>
      </c>
      <c r="N113" s="36"/>
      <c r="O113" s="43">
        <f t="shared" si="39"/>
        <v>0</v>
      </c>
      <c r="P113" s="191">
        <f t="shared" si="34"/>
        <v>0</v>
      </c>
      <c r="Q113" s="230">
        <v>0</v>
      </c>
      <c r="R113" s="43">
        <f t="shared" si="35"/>
        <v>0</v>
      </c>
      <c r="S113" s="200"/>
      <c r="T113" s="36"/>
      <c r="U113" s="210">
        <f t="shared" si="29"/>
        <v>240586.59498319737</v>
      </c>
      <c r="V113" s="36">
        <f t="shared" si="36"/>
        <v>394.28586498319737</v>
      </c>
      <c r="W113" s="36">
        <f t="shared" si="37"/>
        <v>358.39400000000001</v>
      </c>
      <c r="X113" s="230">
        <f t="shared" si="38"/>
        <v>0</v>
      </c>
      <c r="Y113" s="43">
        <f t="shared" si="38"/>
        <v>358.39400000000001</v>
      </c>
      <c r="Z113" s="47"/>
      <c r="AA113" s="47"/>
    </row>
    <row r="114" spans="1:27" s="117" customFormat="1" ht="9.9499999999999993" customHeight="1" x14ac:dyDescent="0.15">
      <c r="A114" s="144" t="s">
        <v>216</v>
      </c>
      <c r="B114" s="215">
        <v>1.1499999999999999</v>
      </c>
      <c r="C114" s="145">
        <f t="shared" si="33"/>
        <v>684.98890940150432</v>
      </c>
      <c r="D114" s="41">
        <f t="shared" si="31"/>
        <v>684988.90940150432</v>
      </c>
      <c r="E114" s="200">
        <v>70156.5</v>
      </c>
      <c r="F114" s="196">
        <f t="shared" si="26"/>
        <v>684.52800000000002</v>
      </c>
      <c r="G114" s="191">
        <f t="shared" si="27"/>
        <v>684528</v>
      </c>
      <c r="H114" s="36"/>
      <c r="I114" s="200">
        <v>70000</v>
      </c>
      <c r="J114" s="230"/>
      <c r="K114" s="43">
        <f t="shared" si="32"/>
        <v>684.52800000000002</v>
      </c>
      <c r="L114" s="200">
        <v>684528</v>
      </c>
      <c r="M114" s="196">
        <f t="shared" si="30"/>
        <v>0</v>
      </c>
      <c r="N114" s="36"/>
      <c r="O114" s="43">
        <f t="shared" si="39"/>
        <v>0</v>
      </c>
      <c r="P114" s="191">
        <f t="shared" si="34"/>
        <v>0</v>
      </c>
      <c r="Q114" s="230">
        <v>0</v>
      </c>
      <c r="R114" s="43">
        <f t="shared" si="35"/>
        <v>0</v>
      </c>
      <c r="S114" s="200"/>
      <c r="T114" s="36"/>
      <c r="U114" s="210">
        <f t="shared" si="29"/>
        <v>614832.40940150432</v>
      </c>
      <c r="V114" s="36">
        <f t="shared" si="36"/>
        <v>684.98890940150432</v>
      </c>
      <c r="W114" s="36">
        <f t="shared" si="37"/>
        <v>684.52800000000002</v>
      </c>
      <c r="X114" s="230">
        <f t="shared" si="38"/>
        <v>0</v>
      </c>
      <c r="Y114" s="43">
        <f t="shared" si="38"/>
        <v>684.52800000000002</v>
      </c>
      <c r="Z114" s="47"/>
      <c r="AA114" s="47"/>
    </row>
    <row r="115" spans="1:27" s="117" customFormat="1" ht="9.9499999999999993" customHeight="1" x14ac:dyDescent="0.15">
      <c r="A115" s="144" t="s">
        <v>217</v>
      </c>
      <c r="B115" s="215">
        <v>0.4</v>
      </c>
      <c r="C115" s="145">
        <f t="shared" si="33"/>
        <v>308.16153109617545</v>
      </c>
      <c r="D115" s="41">
        <f t="shared" si="31"/>
        <v>308161.53109617543</v>
      </c>
      <c r="E115" s="200">
        <v>94306.78</v>
      </c>
      <c r="F115" s="196">
        <f t="shared" si="26"/>
        <v>261.90600000000001</v>
      </c>
      <c r="G115" s="191">
        <f t="shared" si="27"/>
        <v>261906</v>
      </c>
      <c r="H115" s="36"/>
      <c r="I115" s="200">
        <v>50000</v>
      </c>
      <c r="J115" s="230"/>
      <c r="K115" s="43">
        <f t="shared" si="32"/>
        <v>261.90600000000001</v>
      </c>
      <c r="L115" s="200">
        <v>261906</v>
      </c>
      <c r="M115" s="196">
        <f t="shared" si="30"/>
        <v>0</v>
      </c>
      <c r="N115" s="36"/>
      <c r="O115" s="43">
        <f t="shared" si="39"/>
        <v>0</v>
      </c>
      <c r="P115" s="191">
        <f t="shared" si="34"/>
        <v>0</v>
      </c>
      <c r="Q115" s="230">
        <v>0</v>
      </c>
      <c r="R115" s="43">
        <f t="shared" si="35"/>
        <v>0</v>
      </c>
      <c r="S115" s="200"/>
      <c r="T115" s="36"/>
      <c r="U115" s="210">
        <f t="shared" si="29"/>
        <v>213854.75109617543</v>
      </c>
      <c r="V115" s="36">
        <f t="shared" si="36"/>
        <v>308.16153109617545</v>
      </c>
      <c r="W115" s="36">
        <f t="shared" si="37"/>
        <v>261.90600000000001</v>
      </c>
      <c r="X115" s="230">
        <f t="shared" si="38"/>
        <v>0</v>
      </c>
      <c r="Y115" s="43">
        <f t="shared" si="38"/>
        <v>261.90600000000001</v>
      </c>
      <c r="Z115" s="47"/>
      <c r="AA115" s="47"/>
    </row>
    <row r="116" spans="1:27" s="117" customFormat="1" ht="9.9499999999999993" customHeight="1" x14ac:dyDescent="0.15">
      <c r="A116" s="144" t="s">
        <v>218</v>
      </c>
      <c r="B116" s="215">
        <v>0.15</v>
      </c>
      <c r="C116" s="145">
        <f t="shared" si="33"/>
        <v>80.195531661065772</v>
      </c>
      <c r="D116" s="41">
        <f t="shared" si="31"/>
        <v>80195.531661065776</v>
      </c>
      <c r="E116" s="200"/>
      <c r="F116" s="196">
        <f t="shared" si="26"/>
        <v>79.465000000000003</v>
      </c>
      <c r="G116" s="191">
        <f t="shared" si="27"/>
        <v>79465</v>
      </c>
      <c r="H116" s="36"/>
      <c r="I116" s="200"/>
      <c r="J116" s="230"/>
      <c r="K116" s="43">
        <f t="shared" si="32"/>
        <v>79.465000000000003</v>
      </c>
      <c r="L116" s="200">
        <v>79465</v>
      </c>
      <c r="M116" s="196">
        <f t="shared" si="30"/>
        <v>0</v>
      </c>
      <c r="N116" s="36"/>
      <c r="O116" s="43">
        <f t="shared" si="39"/>
        <v>0</v>
      </c>
      <c r="P116" s="191">
        <f t="shared" si="34"/>
        <v>0</v>
      </c>
      <c r="Q116" s="230">
        <v>0</v>
      </c>
      <c r="R116" s="43">
        <f t="shared" si="35"/>
        <v>0</v>
      </c>
      <c r="S116" s="200"/>
      <c r="T116" s="36"/>
      <c r="U116" s="210">
        <f t="shared" si="29"/>
        <v>80195.531661065776</v>
      </c>
      <c r="V116" s="36">
        <f>C116+M116</f>
        <v>80.195531661065772</v>
      </c>
      <c r="W116" s="36">
        <f t="shared" si="37"/>
        <v>79.465000000000003</v>
      </c>
      <c r="X116" s="230">
        <f t="shared" si="38"/>
        <v>0</v>
      </c>
      <c r="Y116" s="43">
        <f t="shared" si="38"/>
        <v>79.465000000000003</v>
      </c>
      <c r="Z116" s="47"/>
      <c r="AA116" s="47"/>
    </row>
    <row r="117" spans="1:27" s="117" customFormat="1" ht="9" hidden="1" customHeight="1" x14ac:dyDescent="0.15">
      <c r="A117" s="144"/>
      <c r="B117" s="215"/>
      <c r="C117" s="140"/>
      <c r="D117" s="41">
        <f t="shared" si="31"/>
        <v>0</v>
      </c>
      <c r="E117" s="200"/>
      <c r="F117" s="195">
        <f t="shared" si="26"/>
        <v>0</v>
      </c>
      <c r="G117" s="191">
        <f t="shared" si="27"/>
        <v>0</v>
      </c>
      <c r="H117" s="36"/>
      <c r="I117" s="200"/>
      <c r="J117" s="230"/>
      <c r="K117" s="41">
        <f t="shared" si="32"/>
        <v>0</v>
      </c>
      <c r="L117" s="200"/>
      <c r="M117" s="195">
        <f t="shared" si="30"/>
        <v>0</v>
      </c>
      <c r="N117" s="36"/>
      <c r="O117" s="43"/>
      <c r="P117" s="191">
        <f t="shared" si="34"/>
        <v>0</v>
      </c>
      <c r="Q117" s="230"/>
      <c r="R117" s="43"/>
      <c r="S117" s="200"/>
      <c r="T117" s="36"/>
      <c r="U117" s="210">
        <f t="shared" si="29"/>
        <v>0</v>
      </c>
      <c r="V117" s="36"/>
      <c r="W117" s="36"/>
      <c r="X117" s="230"/>
      <c r="Y117" s="41"/>
      <c r="Z117" s="47"/>
      <c r="AA117" s="47"/>
    </row>
    <row r="118" spans="1:27" s="179" customFormat="1" x14ac:dyDescent="0.15">
      <c r="A118" s="168" t="s">
        <v>84</v>
      </c>
      <c r="B118" s="216">
        <f>B119+B120+B121+B122+B124+B123</f>
        <v>7.4999999999999991</v>
      </c>
      <c r="C118" s="170">
        <f t="shared" ref="C118:C124" si="40">D118/1000</f>
        <v>10082.836373053287</v>
      </c>
      <c r="D118" s="41">
        <f t="shared" si="31"/>
        <v>10082836.373053288</v>
      </c>
      <c r="E118" s="191">
        <f>SUM(E119:E124)</f>
        <v>6073059.79</v>
      </c>
      <c r="F118" s="191">
        <f t="shared" si="26"/>
        <v>10875.24</v>
      </c>
      <c r="G118" s="191">
        <f t="shared" si="27"/>
        <v>10875240</v>
      </c>
      <c r="H118" s="171"/>
      <c r="I118" s="191">
        <f>SUM(I119:I124)</f>
        <v>6902000</v>
      </c>
      <c r="J118" s="191">
        <f>SUM(J119:J124)</f>
        <v>0</v>
      </c>
      <c r="K118" s="191">
        <f t="shared" si="32"/>
        <v>10875.24</v>
      </c>
      <c r="L118" s="191">
        <f>SUM(L119:L124)</f>
        <v>10875240</v>
      </c>
      <c r="M118" s="191">
        <f t="shared" si="30"/>
        <v>-1215.6739499999999</v>
      </c>
      <c r="N118" s="171">
        <f>N119+N120+N121+N122+N124</f>
        <v>0</v>
      </c>
      <c r="O118" s="171">
        <f t="shared" ref="O118:O124" si="41">P118/1000*-1</f>
        <v>-1000</v>
      </c>
      <c r="P118" s="191">
        <f t="shared" si="34"/>
        <v>1000000</v>
      </c>
      <c r="Q118" s="191">
        <f>Q119+Q120+Q121+Q122+Q124</f>
        <v>0</v>
      </c>
      <c r="R118" s="171">
        <f t="shared" ref="R118:R124" si="42">S118/1000*-1</f>
        <v>-1000</v>
      </c>
      <c r="S118" s="191">
        <f>SUM(S119:S125)</f>
        <v>1000000</v>
      </c>
      <c r="T118" s="176">
        <f>T119+T120+T121+T122+T124</f>
        <v>1215673.95</v>
      </c>
      <c r="U118" s="210">
        <f t="shared" si="29"/>
        <v>4009776.5830532885</v>
      </c>
      <c r="V118" s="173">
        <f t="shared" ref="V118:V124" si="43">C118+M118</f>
        <v>8867.1624230532871</v>
      </c>
      <c r="W118" s="173">
        <f t="shared" ref="W118:W124" si="44">F118+O118</f>
        <v>9875.24</v>
      </c>
      <c r="X118" s="198">
        <f>J118+Q118</f>
        <v>0</v>
      </c>
      <c r="Y118" s="171">
        <f t="shared" ref="Y118:Y124" si="45">K118+R118</f>
        <v>9875.24</v>
      </c>
      <c r="Z118" s="174"/>
      <c r="AA118" s="174"/>
    </row>
    <row r="119" spans="1:27" s="117" customFormat="1" ht="9.9499999999999993" customHeight="1" x14ac:dyDescent="0.15">
      <c r="A119" s="142" t="s">
        <v>219</v>
      </c>
      <c r="B119" s="212">
        <v>1</v>
      </c>
      <c r="C119" s="145">
        <f t="shared" si="40"/>
        <v>1039.1896777404386</v>
      </c>
      <c r="D119" s="41">
        <f t="shared" si="31"/>
        <v>1039189.6777404386</v>
      </c>
      <c r="E119" s="198">
        <v>504552.8</v>
      </c>
      <c r="F119" s="196">
        <f t="shared" si="26"/>
        <v>1317.7650000000001</v>
      </c>
      <c r="G119" s="191">
        <f t="shared" si="27"/>
        <v>1317765</v>
      </c>
      <c r="H119" s="36"/>
      <c r="I119" s="200">
        <f>120000+20000+200000+200000+248000</f>
        <v>788000</v>
      </c>
      <c r="J119" s="230"/>
      <c r="K119" s="43">
        <f t="shared" si="32"/>
        <v>1317.7650000000001</v>
      </c>
      <c r="L119" s="198">
        <v>1317765</v>
      </c>
      <c r="M119" s="196">
        <f t="shared" si="30"/>
        <v>-153.405</v>
      </c>
      <c r="N119" s="33"/>
      <c r="O119" s="43">
        <f t="shared" si="41"/>
        <v>0</v>
      </c>
      <c r="P119" s="191">
        <f>S119</f>
        <v>0</v>
      </c>
      <c r="Q119" s="230">
        <v>0</v>
      </c>
      <c r="R119" s="43">
        <f t="shared" si="42"/>
        <v>0</v>
      </c>
      <c r="S119" s="200"/>
      <c r="T119" s="36">
        <v>153405</v>
      </c>
      <c r="U119" s="227">
        <f t="shared" si="29"/>
        <v>534636.87774043856</v>
      </c>
      <c r="V119" s="36">
        <f t="shared" si="43"/>
        <v>885.78467774043861</v>
      </c>
      <c r="W119" s="36">
        <f t="shared" si="44"/>
        <v>1317.7650000000001</v>
      </c>
      <c r="X119" s="230">
        <f t="shared" ref="X119:X124" si="46">J119+Q119</f>
        <v>0</v>
      </c>
      <c r="Y119" s="43">
        <f t="shared" si="45"/>
        <v>1317.7650000000001</v>
      </c>
      <c r="Z119" s="47"/>
      <c r="AA119" s="47"/>
    </row>
    <row r="120" spans="1:27" s="117" customFormat="1" ht="9.9499999999999993" customHeight="1" x14ac:dyDescent="0.15">
      <c r="A120" s="142" t="s">
        <v>220</v>
      </c>
      <c r="B120" s="212">
        <v>1.65</v>
      </c>
      <c r="C120" s="145">
        <f t="shared" si="40"/>
        <v>924.24933827172356</v>
      </c>
      <c r="D120" s="41">
        <f t="shared" si="31"/>
        <v>924249.33827172359</v>
      </c>
      <c r="E120" s="198">
        <v>42098.49</v>
      </c>
      <c r="F120" s="196">
        <f t="shared" si="26"/>
        <v>1074.1130000000001</v>
      </c>
      <c r="G120" s="191">
        <f t="shared" si="27"/>
        <v>1074113</v>
      </c>
      <c r="H120" s="36"/>
      <c r="I120" s="200">
        <v>200000</v>
      </c>
      <c r="J120" s="230"/>
      <c r="K120" s="43">
        <f t="shared" si="32"/>
        <v>1074.1130000000001</v>
      </c>
      <c r="L120" s="198">
        <v>1074113</v>
      </c>
      <c r="M120" s="196">
        <f t="shared" si="30"/>
        <v>0</v>
      </c>
      <c r="N120" s="33"/>
      <c r="O120" s="43">
        <f t="shared" si="41"/>
        <v>0</v>
      </c>
      <c r="P120" s="191">
        <f t="shared" ref="P120:P145" si="47">S120</f>
        <v>0</v>
      </c>
      <c r="Q120" s="230">
        <v>0</v>
      </c>
      <c r="R120" s="43">
        <f t="shared" si="42"/>
        <v>0</v>
      </c>
      <c r="S120" s="200"/>
      <c r="T120" s="36"/>
      <c r="U120" s="227">
        <f t="shared" si="29"/>
        <v>882150.8482717236</v>
      </c>
      <c r="V120" s="36">
        <f t="shared" si="43"/>
        <v>924.24933827172356</v>
      </c>
      <c r="W120" s="36">
        <f t="shared" si="44"/>
        <v>1074.1130000000001</v>
      </c>
      <c r="X120" s="230">
        <f t="shared" si="46"/>
        <v>0</v>
      </c>
      <c r="Y120" s="43">
        <f t="shared" si="45"/>
        <v>1074.1130000000001</v>
      </c>
      <c r="Z120" s="47"/>
      <c r="AA120" s="47"/>
    </row>
    <row r="121" spans="1:27" s="117" customFormat="1" ht="9.9499999999999993" customHeight="1" x14ac:dyDescent="0.15">
      <c r="A121" s="142" t="s">
        <v>221</v>
      </c>
      <c r="B121" s="212">
        <v>2.0499999999999998</v>
      </c>
      <c r="C121" s="145">
        <f t="shared" si="40"/>
        <v>1360.4440893678989</v>
      </c>
      <c r="D121" s="41">
        <f t="shared" si="31"/>
        <v>1360444.0893678989</v>
      </c>
      <c r="E121" s="198">
        <v>264438.49</v>
      </c>
      <c r="F121" s="196">
        <f t="shared" si="26"/>
        <v>1560.019</v>
      </c>
      <c r="G121" s="191">
        <f t="shared" si="27"/>
        <v>1560019</v>
      </c>
      <c r="H121" s="36"/>
      <c r="I121" s="200">
        <f>314000+160000</f>
        <v>474000</v>
      </c>
      <c r="J121" s="230"/>
      <c r="K121" s="43">
        <f t="shared" si="32"/>
        <v>1560.019</v>
      </c>
      <c r="L121" s="198">
        <v>1560019</v>
      </c>
      <c r="M121" s="196">
        <f t="shared" si="30"/>
        <v>0</v>
      </c>
      <c r="N121" s="33"/>
      <c r="O121" s="43">
        <f t="shared" si="41"/>
        <v>0</v>
      </c>
      <c r="P121" s="191">
        <f t="shared" si="47"/>
        <v>0</v>
      </c>
      <c r="Q121" s="230">
        <v>0</v>
      </c>
      <c r="R121" s="43">
        <f t="shared" si="42"/>
        <v>0</v>
      </c>
      <c r="S121" s="200"/>
      <c r="T121" s="36"/>
      <c r="U121" s="227">
        <f t="shared" si="29"/>
        <v>1096005.5993678989</v>
      </c>
      <c r="V121" s="36">
        <f t="shared" si="43"/>
        <v>1360.4440893678989</v>
      </c>
      <c r="W121" s="36">
        <f t="shared" si="44"/>
        <v>1560.019</v>
      </c>
      <c r="X121" s="230">
        <f t="shared" si="46"/>
        <v>0</v>
      </c>
      <c r="Y121" s="43">
        <f t="shared" si="45"/>
        <v>1560.019</v>
      </c>
      <c r="Z121" s="47"/>
      <c r="AA121" s="47"/>
    </row>
    <row r="122" spans="1:27" s="117" customFormat="1" ht="9.9499999999999993" customHeight="1" x14ac:dyDescent="0.15">
      <c r="A122" s="142" t="s">
        <v>222</v>
      </c>
      <c r="B122" s="212">
        <v>1.3</v>
      </c>
      <c r="C122" s="145">
        <f t="shared" si="40"/>
        <v>5613.3862410625707</v>
      </c>
      <c r="D122" s="41">
        <f t="shared" si="31"/>
        <v>5613386.2410625704</v>
      </c>
      <c r="E122" s="198">
        <v>4918358.3</v>
      </c>
      <c r="F122" s="196">
        <f t="shared" si="26"/>
        <v>5728.6949999999997</v>
      </c>
      <c r="G122" s="191">
        <f t="shared" si="27"/>
        <v>5728695</v>
      </c>
      <c r="H122" s="36"/>
      <c r="I122" s="200">
        <v>5040000</v>
      </c>
      <c r="J122" s="230"/>
      <c r="K122" s="43">
        <f t="shared" si="32"/>
        <v>5728.6949999999997</v>
      </c>
      <c r="L122" s="198">
        <v>5728695</v>
      </c>
      <c r="M122" s="196">
        <f t="shared" si="30"/>
        <v>-1062.2689499999999</v>
      </c>
      <c r="N122" s="33"/>
      <c r="O122" s="43">
        <f t="shared" si="41"/>
        <v>-1000</v>
      </c>
      <c r="P122" s="191">
        <f t="shared" si="47"/>
        <v>1000000</v>
      </c>
      <c r="Q122" s="230"/>
      <c r="R122" s="43">
        <f t="shared" si="42"/>
        <v>-1000</v>
      </c>
      <c r="S122" s="200">
        <v>1000000</v>
      </c>
      <c r="T122" s="33">
        <f>669008.82+393260.13</f>
        <v>1062268.95</v>
      </c>
      <c r="U122" s="210">
        <f t="shared" si="29"/>
        <v>695027.9410625702</v>
      </c>
      <c r="V122" s="36">
        <f t="shared" si="43"/>
        <v>4551.117291062571</v>
      </c>
      <c r="W122" s="36">
        <f t="shared" si="44"/>
        <v>4728.6949999999997</v>
      </c>
      <c r="X122" s="230">
        <f t="shared" si="46"/>
        <v>0</v>
      </c>
      <c r="Y122" s="43">
        <f t="shared" si="45"/>
        <v>4728.6949999999997</v>
      </c>
      <c r="Z122" s="47"/>
      <c r="AA122" s="47"/>
    </row>
    <row r="123" spans="1:27" s="117" customFormat="1" ht="9.9499999999999993" customHeight="1" x14ac:dyDescent="0.15">
      <c r="A123" s="142" t="s">
        <v>223</v>
      </c>
      <c r="B123" s="212">
        <v>1.2</v>
      </c>
      <c r="C123" s="145">
        <f t="shared" si="40"/>
        <v>963.87529328852611</v>
      </c>
      <c r="D123" s="41">
        <f t="shared" si="31"/>
        <v>963875.29328852613</v>
      </c>
      <c r="E123" s="198">
        <v>322311.03999999998</v>
      </c>
      <c r="F123" s="196">
        <f t="shared" si="26"/>
        <v>1035.7180000000001</v>
      </c>
      <c r="G123" s="191">
        <f t="shared" si="27"/>
        <v>1035718</v>
      </c>
      <c r="H123" s="36"/>
      <c r="I123" s="200">
        <v>400000</v>
      </c>
      <c r="J123" s="230"/>
      <c r="K123" s="43">
        <f t="shared" si="32"/>
        <v>1035.7180000000001</v>
      </c>
      <c r="L123" s="198">
        <v>1035718</v>
      </c>
      <c r="M123" s="196">
        <f t="shared" si="30"/>
        <v>0</v>
      </c>
      <c r="N123" s="33"/>
      <c r="O123" s="41"/>
      <c r="P123" s="191">
        <f t="shared" si="47"/>
        <v>0</v>
      </c>
      <c r="Q123" s="231"/>
      <c r="R123" s="43">
        <v>0</v>
      </c>
      <c r="S123" s="198"/>
      <c r="T123" s="33"/>
      <c r="U123" s="210">
        <f t="shared" si="29"/>
        <v>641564.2532885262</v>
      </c>
      <c r="V123" s="36">
        <f t="shared" si="43"/>
        <v>963.87529328852611</v>
      </c>
      <c r="W123" s="36">
        <f t="shared" si="44"/>
        <v>1035.7180000000001</v>
      </c>
      <c r="X123" s="230">
        <f t="shared" si="46"/>
        <v>0</v>
      </c>
      <c r="Y123" s="43">
        <f t="shared" si="45"/>
        <v>1035.7180000000001</v>
      </c>
      <c r="Z123" s="47"/>
      <c r="AA123" s="47"/>
    </row>
    <row r="124" spans="1:27" s="117" customFormat="1" ht="9.9499999999999993" customHeight="1" x14ac:dyDescent="0.15">
      <c r="A124" s="142" t="s">
        <v>224</v>
      </c>
      <c r="B124" s="212">
        <v>0.3</v>
      </c>
      <c r="C124" s="145">
        <f t="shared" si="40"/>
        <v>181.69173332213157</v>
      </c>
      <c r="D124" s="41">
        <f t="shared" si="31"/>
        <v>181691.73332213156</v>
      </c>
      <c r="E124" s="198">
        <v>21300.67</v>
      </c>
      <c r="F124" s="196">
        <f t="shared" si="26"/>
        <v>158.93</v>
      </c>
      <c r="G124" s="191">
        <f t="shared" si="27"/>
        <v>158930</v>
      </c>
      <c r="H124" s="36"/>
      <c r="I124" s="200"/>
      <c r="J124" s="230"/>
      <c r="K124" s="43">
        <f t="shared" si="32"/>
        <v>158.93</v>
      </c>
      <c r="L124" s="198">
        <v>158930</v>
      </c>
      <c r="M124" s="196">
        <f t="shared" si="30"/>
        <v>0</v>
      </c>
      <c r="N124" s="33"/>
      <c r="O124" s="43">
        <f t="shared" si="41"/>
        <v>0</v>
      </c>
      <c r="P124" s="191">
        <f t="shared" si="47"/>
        <v>0</v>
      </c>
      <c r="Q124" s="230">
        <v>0</v>
      </c>
      <c r="R124" s="43">
        <f t="shared" si="42"/>
        <v>0</v>
      </c>
      <c r="S124" s="198"/>
      <c r="T124" s="33"/>
      <c r="U124" s="210">
        <f t="shared" si="29"/>
        <v>160391.06332213155</v>
      </c>
      <c r="V124" s="36">
        <f t="shared" si="43"/>
        <v>181.69173332213157</v>
      </c>
      <c r="W124" s="36">
        <f t="shared" si="44"/>
        <v>158.93</v>
      </c>
      <c r="X124" s="230">
        <f t="shared" si="46"/>
        <v>0</v>
      </c>
      <c r="Y124" s="43">
        <f t="shared" si="45"/>
        <v>158.93</v>
      </c>
      <c r="Z124" s="47"/>
      <c r="AA124" s="47"/>
    </row>
    <row r="125" spans="1:27" s="117" customFormat="1" ht="9" hidden="1" customHeight="1" x14ac:dyDescent="0.15">
      <c r="A125" s="152"/>
      <c r="B125" s="212"/>
      <c r="C125" s="140"/>
      <c r="D125" s="41">
        <f t="shared" si="31"/>
        <v>0</v>
      </c>
      <c r="E125" s="198"/>
      <c r="F125" s="195">
        <f t="shared" si="26"/>
        <v>0</v>
      </c>
      <c r="G125" s="191">
        <f t="shared" si="27"/>
        <v>0</v>
      </c>
      <c r="H125" s="33"/>
      <c r="I125" s="198"/>
      <c r="J125" s="231"/>
      <c r="K125" s="41">
        <f t="shared" si="32"/>
        <v>0</v>
      </c>
      <c r="L125" s="198"/>
      <c r="M125" s="195">
        <f t="shared" si="30"/>
        <v>0</v>
      </c>
      <c r="N125" s="33"/>
      <c r="O125" s="41"/>
      <c r="P125" s="191">
        <f t="shared" si="47"/>
        <v>0</v>
      </c>
      <c r="Q125" s="231"/>
      <c r="R125" s="41"/>
      <c r="S125" s="198"/>
      <c r="T125" s="33"/>
      <c r="U125" s="210">
        <f t="shared" si="29"/>
        <v>0</v>
      </c>
      <c r="V125" s="33"/>
      <c r="W125" s="33"/>
      <c r="X125" s="230"/>
      <c r="Y125" s="41"/>
      <c r="Z125" s="47"/>
      <c r="AA125" s="47"/>
    </row>
    <row r="126" spans="1:27" s="179" customFormat="1" x14ac:dyDescent="0.15">
      <c r="A126" s="168" t="s">
        <v>85</v>
      </c>
      <c r="B126" s="216">
        <f>B127+B129+B128+B130</f>
        <v>7.2499999999999991</v>
      </c>
      <c r="C126" s="170">
        <f>D126/1000</f>
        <v>20840.056743618181</v>
      </c>
      <c r="D126" s="41">
        <f t="shared" si="31"/>
        <v>20840056.743618179</v>
      </c>
      <c r="E126" s="191">
        <f>SUM(E127:E130)</f>
        <v>16963939.379999999</v>
      </c>
      <c r="F126" s="191">
        <f t="shared" si="26"/>
        <v>16391.358</v>
      </c>
      <c r="G126" s="191">
        <f t="shared" si="27"/>
        <v>16391358</v>
      </c>
      <c r="H126" s="171"/>
      <c r="I126" s="191">
        <f>SUM(I127:I131)</f>
        <v>12550561</v>
      </c>
      <c r="J126" s="191">
        <f>SUM(J127:J130)</f>
        <v>0</v>
      </c>
      <c r="K126" s="191">
        <f t="shared" si="32"/>
        <v>16391.358</v>
      </c>
      <c r="L126" s="191">
        <f>SUM(L127:L131)</f>
        <v>16391358</v>
      </c>
      <c r="M126" s="191">
        <f t="shared" si="30"/>
        <v>-65292.966069999995</v>
      </c>
      <c r="N126" s="171">
        <f>N127+N129+N128+N130</f>
        <v>0</v>
      </c>
      <c r="O126" s="171">
        <f>P126/1000*-1</f>
        <v>-62380.491999999998</v>
      </c>
      <c r="P126" s="191">
        <f t="shared" si="47"/>
        <v>62380492</v>
      </c>
      <c r="Q126" s="191">
        <f>SUM(Q127:Q130)</f>
        <v>0</v>
      </c>
      <c r="R126" s="171">
        <f>S126/1000*-1</f>
        <v>-62380.491999999998</v>
      </c>
      <c r="S126" s="191">
        <f>SUM(S127:S131)</f>
        <v>62380492</v>
      </c>
      <c r="T126" s="171">
        <f>SUM(T127:T131)</f>
        <v>65292966.069999993</v>
      </c>
      <c r="U126" s="210">
        <f t="shared" si="29"/>
        <v>3876117.3636181792</v>
      </c>
      <c r="V126" s="173">
        <f>C126+M126</f>
        <v>-44452.909326381814</v>
      </c>
      <c r="W126" s="173">
        <f>F126+O126</f>
        <v>-45989.133999999998</v>
      </c>
      <c r="X126" s="198">
        <f t="shared" ref="X126:Y130" si="48">J126+Q126</f>
        <v>0</v>
      </c>
      <c r="Y126" s="171">
        <f t="shared" si="48"/>
        <v>-45989.133999999998</v>
      </c>
      <c r="Z126" s="174"/>
      <c r="AA126" s="174"/>
    </row>
    <row r="127" spans="1:27" s="118" customFormat="1" ht="9.9499999999999993" customHeight="1" x14ac:dyDescent="0.15">
      <c r="A127" s="152" t="s">
        <v>225</v>
      </c>
      <c r="B127" s="212">
        <v>3</v>
      </c>
      <c r="C127" s="145">
        <f>D127/1000</f>
        <v>8236.394173221317</v>
      </c>
      <c r="D127" s="43">
        <f t="shared" si="31"/>
        <v>8236394.1732213162</v>
      </c>
      <c r="E127" s="200">
        <v>6632483.54</v>
      </c>
      <c r="F127" s="196">
        <f t="shared" si="26"/>
        <v>6231.2550000000001</v>
      </c>
      <c r="G127" s="191">
        <f t="shared" si="27"/>
        <v>6231255</v>
      </c>
      <c r="H127" s="36"/>
      <c r="I127" s="200">
        <f>L127-1589295</f>
        <v>4641960</v>
      </c>
      <c r="J127" s="230"/>
      <c r="K127" s="43">
        <f t="shared" si="32"/>
        <v>6231.2550000000001</v>
      </c>
      <c r="L127" s="200">
        <v>6231255</v>
      </c>
      <c r="M127" s="196">
        <f t="shared" si="30"/>
        <v>-57646.292829999999</v>
      </c>
      <c r="N127" s="36"/>
      <c r="O127" s="43">
        <f>P127/1000*-1</f>
        <v>-52780.491999999998</v>
      </c>
      <c r="P127" s="191">
        <f t="shared" si="47"/>
        <v>52780492</v>
      </c>
      <c r="Q127" s="230"/>
      <c r="R127" s="43">
        <f>S127/1000*-1</f>
        <v>-52780.491999999998</v>
      </c>
      <c r="S127" s="200">
        <v>52780492</v>
      </c>
      <c r="T127" s="36">
        <v>57646292.829999998</v>
      </c>
      <c r="U127" s="227">
        <f t="shared" si="29"/>
        <v>1603910.6332213157</v>
      </c>
      <c r="V127" s="36">
        <f>C127+M127</f>
        <v>-49409.898656778678</v>
      </c>
      <c r="W127" s="36">
        <f>F127+O127</f>
        <v>-46549.237000000001</v>
      </c>
      <c r="X127" s="230">
        <f t="shared" si="48"/>
        <v>0</v>
      </c>
      <c r="Y127" s="43">
        <f t="shared" si="48"/>
        <v>-46549.237000000001</v>
      </c>
      <c r="Z127" s="47"/>
      <c r="AA127" s="47"/>
    </row>
    <row r="128" spans="1:27" s="118" customFormat="1" ht="9.9499999999999993" customHeight="1" x14ac:dyDescent="0.15">
      <c r="A128" s="152" t="s">
        <v>226</v>
      </c>
      <c r="B128" s="212">
        <v>2.4</v>
      </c>
      <c r="C128" s="145">
        <f>D128/1000</f>
        <v>8987.4299465770528</v>
      </c>
      <c r="D128" s="43">
        <f t="shared" si="31"/>
        <v>8987429.9465770535</v>
      </c>
      <c r="E128" s="200">
        <v>7704301.4400000004</v>
      </c>
      <c r="F128" s="196">
        <f t="shared" si="26"/>
        <v>6197.607</v>
      </c>
      <c r="G128" s="191">
        <f t="shared" si="27"/>
        <v>6197607</v>
      </c>
      <c r="H128" s="36"/>
      <c r="I128" s="200">
        <f>L128-1271436</f>
        <v>4926171</v>
      </c>
      <c r="J128" s="230"/>
      <c r="K128" s="43">
        <f t="shared" si="32"/>
        <v>6197.607</v>
      </c>
      <c r="L128" s="200">
        <v>6197607</v>
      </c>
      <c r="M128" s="196">
        <f t="shared" si="30"/>
        <v>0</v>
      </c>
      <c r="N128" s="36"/>
      <c r="O128" s="43">
        <f>P128/1000*-1</f>
        <v>0</v>
      </c>
      <c r="P128" s="191">
        <f t="shared" si="47"/>
        <v>0</v>
      </c>
      <c r="Q128" s="230">
        <v>0</v>
      </c>
      <c r="R128" s="43">
        <f>S128/1000*-1</f>
        <v>0</v>
      </c>
      <c r="S128" s="200"/>
      <c r="T128" s="36"/>
      <c r="U128" s="227">
        <f t="shared" si="29"/>
        <v>1283128.5065770524</v>
      </c>
      <c r="V128" s="36">
        <f>C128+M128</f>
        <v>8987.4299465770528</v>
      </c>
      <c r="W128" s="36">
        <f>F128+O128</f>
        <v>6197.607</v>
      </c>
      <c r="X128" s="230">
        <f t="shared" si="48"/>
        <v>0</v>
      </c>
      <c r="Y128" s="43">
        <f t="shared" si="48"/>
        <v>6197.607</v>
      </c>
      <c r="Z128" s="47"/>
      <c r="AA128" s="47"/>
    </row>
    <row r="129" spans="1:27" s="118" customFormat="1" ht="9.9499999999999993" customHeight="1" x14ac:dyDescent="0.15">
      <c r="A129" s="152" t="s">
        <v>227</v>
      </c>
      <c r="B129" s="212">
        <v>0.55000000000000004</v>
      </c>
      <c r="C129" s="145">
        <f>D129/1000</f>
        <v>900.05936275724116</v>
      </c>
      <c r="D129" s="43">
        <f t="shared" si="31"/>
        <v>900059.36275724112</v>
      </c>
      <c r="E129" s="200">
        <v>606009.07999999996</v>
      </c>
      <c r="F129" s="196">
        <f t="shared" si="26"/>
        <v>1387.501</v>
      </c>
      <c r="G129" s="191">
        <f t="shared" si="27"/>
        <v>1387501</v>
      </c>
      <c r="H129" s="36"/>
      <c r="I129" s="200">
        <f>L129-291371</f>
        <v>1096130</v>
      </c>
      <c r="J129" s="230"/>
      <c r="K129" s="43">
        <f t="shared" si="32"/>
        <v>1387.501</v>
      </c>
      <c r="L129" s="200">
        <v>1387501</v>
      </c>
      <c r="M129" s="196">
        <f>T129/1000*-1</f>
        <v>-5013.8026900000004</v>
      </c>
      <c r="N129" s="36"/>
      <c r="O129" s="43">
        <f>P129/1000*-1</f>
        <v>-6700</v>
      </c>
      <c r="P129" s="191">
        <f t="shared" si="47"/>
        <v>6700000</v>
      </c>
      <c r="Q129" s="230"/>
      <c r="R129" s="43">
        <f>S129/1000*-1</f>
        <v>-6700</v>
      </c>
      <c r="S129" s="200">
        <v>6700000</v>
      </c>
      <c r="T129" s="36">
        <v>5013802.6900000004</v>
      </c>
      <c r="U129" s="227">
        <f t="shared" si="29"/>
        <v>294050.28275724122</v>
      </c>
      <c r="V129" s="36">
        <f>C129+M129</f>
        <v>-4113.7433272427588</v>
      </c>
      <c r="W129" s="36">
        <f>F129+O129</f>
        <v>-5312.4989999999998</v>
      </c>
      <c r="X129" s="230">
        <f t="shared" si="48"/>
        <v>0</v>
      </c>
      <c r="Y129" s="43">
        <f t="shared" si="48"/>
        <v>-5312.4989999999998</v>
      </c>
      <c r="Z129" s="47"/>
      <c r="AA129" s="47"/>
    </row>
    <row r="130" spans="1:27" s="118" customFormat="1" ht="9.9499999999999993" customHeight="1" x14ac:dyDescent="0.15">
      <c r="A130" s="152" t="s">
        <v>228</v>
      </c>
      <c r="B130" s="212">
        <v>1.3</v>
      </c>
      <c r="C130" s="145">
        <f>D130/1000</f>
        <v>2716.17326106257</v>
      </c>
      <c r="D130" s="43">
        <f t="shared" si="31"/>
        <v>2716173.2610625699</v>
      </c>
      <c r="E130" s="200">
        <f>2481+247+542944.64+1475472.68</f>
        <v>2021145.3199999998</v>
      </c>
      <c r="F130" s="196">
        <f t="shared" si="26"/>
        <v>2574.9949999999999</v>
      </c>
      <c r="G130" s="191">
        <f t="shared" si="27"/>
        <v>2574995</v>
      </c>
      <c r="H130" s="36"/>
      <c r="I130" s="200">
        <f>L130-688695</f>
        <v>1886300</v>
      </c>
      <c r="J130" s="230"/>
      <c r="K130" s="43">
        <f t="shared" si="32"/>
        <v>2574.9949999999999</v>
      </c>
      <c r="L130" s="200">
        <v>2574995</v>
      </c>
      <c r="M130" s="196">
        <f t="shared" ref="M130:M145" si="49">T130/1000*-1</f>
        <v>-2632.8705499999996</v>
      </c>
      <c r="N130" s="36"/>
      <c r="O130" s="43">
        <f>P130/1000*-1</f>
        <v>-2900</v>
      </c>
      <c r="P130" s="191">
        <f t="shared" si="47"/>
        <v>2900000</v>
      </c>
      <c r="Q130" s="230"/>
      <c r="R130" s="43">
        <f>S130/1000*-1</f>
        <v>-2900</v>
      </c>
      <c r="S130" s="200">
        <v>2900000</v>
      </c>
      <c r="T130" s="36">
        <v>2632870.5499999998</v>
      </c>
      <c r="U130" s="227">
        <f t="shared" si="29"/>
        <v>695027.9410625702</v>
      </c>
      <c r="V130" s="36">
        <f>C130+M130</f>
        <v>83.302711062570324</v>
      </c>
      <c r="W130" s="36">
        <f>F130+O130</f>
        <v>-325.00500000000011</v>
      </c>
      <c r="X130" s="230">
        <f t="shared" si="48"/>
        <v>0</v>
      </c>
      <c r="Y130" s="43">
        <f t="shared" si="48"/>
        <v>-325.00500000000011</v>
      </c>
      <c r="Z130" s="47"/>
      <c r="AA130" s="47"/>
    </row>
    <row r="131" spans="1:27" s="118" customFormat="1" ht="9" hidden="1" customHeight="1" x14ac:dyDescent="0.15">
      <c r="A131" s="152"/>
      <c r="B131" s="212"/>
      <c r="C131" s="140"/>
      <c r="D131" s="41">
        <f t="shared" si="31"/>
        <v>0</v>
      </c>
      <c r="E131" s="198"/>
      <c r="F131" s="195">
        <f t="shared" si="26"/>
        <v>0</v>
      </c>
      <c r="G131" s="191">
        <f t="shared" si="27"/>
        <v>0</v>
      </c>
      <c r="H131" s="33"/>
      <c r="I131" s="198"/>
      <c r="J131" s="231"/>
      <c r="K131" s="41">
        <f t="shared" si="32"/>
        <v>0</v>
      </c>
      <c r="L131" s="198"/>
      <c r="M131" s="195">
        <f t="shared" si="49"/>
        <v>0</v>
      </c>
      <c r="N131" s="33"/>
      <c r="O131" s="41"/>
      <c r="P131" s="191">
        <f t="shared" si="47"/>
        <v>0</v>
      </c>
      <c r="Q131" s="231"/>
      <c r="R131" s="41"/>
      <c r="S131" s="198"/>
      <c r="T131" s="33"/>
      <c r="U131" s="210">
        <f t="shared" si="29"/>
        <v>0</v>
      </c>
      <c r="V131" s="33"/>
      <c r="W131" s="33"/>
      <c r="X131" s="230"/>
      <c r="Y131" s="41"/>
      <c r="Z131" s="47"/>
      <c r="AA131" s="47"/>
    </row>
    <row r="132" spans="1:27" s="184" customFormat="1" x14ac:dyDescent="0.15">
      <c r="A132" s="183" t="s">
        <v>86</v>
      </c>
      <c r="B132" s="216">
        <f>B133+B134+B135+B136+B137+B138</f>
        <v>7.91</v>
      </c>
      <c r="C132" s="170">
        <f t="shared" ref="C132:C138" si="50">D132/1000</f>
        <v>13562.00065292687</v>
      </c>
      <c r="D132" s="41">
        <f t="shared" si="31"/>
        <v>13562000.65292687</v>
      </c>
      <c r="E132" s="191">
        <f>SUM(E133:E138)</f>
        <v>9333022.9500000011</v>
      </c>
      <c r="F132" s="191">
        <f t="shared" si="26"/>
        <v>12378.941999999999</v>
      </c>
      <c r="G132" s="191">
        <f t="shared" si="27"/>
        <v>12378942</v>
      </c>
      <c r="H132" s="171"/>
      <c r="I132" s="191">
        <f>SUM(I133:I138)</f>
        <v>8188500</v>
      </c>
      <c r="J132" s="191">
        <f>SUM(J133:J138)</f>
        <v>0</v>
      </c>
      <c r="K132" s="191">
        <f t="shared" si="32"/>
        <v>12378.941999999999</v>
      </c>
      <c r="L132" s="191">
        <f>SUM(L133:L139)</f>
        <v>12378942</v>
      </c>
      <c r="M132" s="191">
        <f t="shared" si="49"/>
        <v>-684.52638999999999</v>
      </c>
      <c r="N132" s="191">
        <f>N133+N134+N135+N136+N137+N138</f>
        <v>0</v>
      </c>
      <c r="O132" s="191">
        <f t="shared" ref="O132:O138" si="51">P132/1000*-1</f>
        <v>0</v>
      </c>
      <c r="P132" s="191">
        <f t="shared" si="47"/>
        <v>0</v>
      </c>
      <c r="Q132" s="191">
        <v>0</v>
      </c>
      <c r="R132" s="171">
        <f t="shared" ref="R132:R138" si="52">S132/1000*-1</f>
        <v>0</v>
      </c>
      <c r="S132" s="191">
        <f>SUM(S133:S139)</f>
        <v>0</v>
      </c>
      <c r="T132" s="171">
        <f>T133+T134+T135+T136+T137+T138</f>
        <v>684526.39</v>
      </c>
      <c r="U132" s="210">
        <f t="shared" si="29"/>
        <v>4228977.7029268695</v>
      </c>
      <c r="V132" s="173">
        <f t="shared" ref="V132:V138" si="53">C132+M132</f>
        <v>12877.474262926869</v>
      </c>
      <c r="W132" s="173">
        <f t="shared" ref="W132:W138" si="54">F132+O132</f>
        <v>12378.941999999999</v>
      </c>
      <c r="X132" s="198">
        <f t="shared" ref="X132:Y138" si="55">J132+Q132</f>
        <v>0</v>
      </c>
      <c r="Y132" s="171">
        <f t="shared" si="55"/>
        <v>12378.941999999999</v>
      </c>
      <c r="Z132" s="174"/>
      <c r="AA132" s="174"/>
    </row>
    <row r="133" spans="1:27" s="118" customFormat="1" ht="9.9499999999999993" customHeight="1" x14ac:dyDescent="0.15">
      <c r="A133" s="142" t="s">
        <v>229</v>
      </c>
      <c r="B133" s="212">
        <v>0.65</v>
      </c>
      <c r="C133" s="145">
        <f t="shared" si="50"/>
        <v>1768.627940531285</v>
      </c>
      <c r="D133" s="43">
        <f t="shared" si="31"/>
        <v>1768627.940531285</v>
      </c>
      <c r="E133" s="200">
        <v>1421113.97</v>
      </c>
      <c r="F133" s="196">
        <f t="shared" si="26"/>
        <v>1205.3240000000001</v>
      </c>
      <c r="G133" s="191">
        <f t="shared" si="27"/>
        <v>1205324</v>
      </c>
      <c r="H133" s="36"/>
      <c r="I133" s="200">
        <f>L133-397324</f>
        <v>808000</v>
      </c>
      <c r="J133" s="230"/>
      <c r="K133" s="43">
        <f t="shared" si="32"/>
        <v>1205.3240000000001</v>
      </c>
      <c r="L133" s="200">
        <v>1205324</v>
      </c>
      <c r="M133" s="196">
        <f t="shared" si="49"/>
        <v>0</v>
      </c>
      <c r="N133" s="36"/>
      <c r="O133" s="43">
        <f t="shared" si="51"/>
        <v>0</v>
      </c>
      <c r="P133" s="191">
        <f t="shared" si="47"/>
        <v>0</v>
      </c>
      <c r="Q133" s="230">
        <v>0</v>
      </c>
      <c r="R133" s="43">
        <f t="shared" si="52"/>
        <v>0</v>
      </c>
      <c r="S133" s="200"/>
      <c r="T133" s="36"/>
      <c r="U133" s="227">
        <f t="shared" si="29"/>
        <v>347513.9705312851</v>
      </c>
      <c r="V133" s="36">
        <f t="shared" si="53"/>
        <v>1768.627940531285</v>
      </c>
      <c r="W133" s="36">
        <f t="shared" si="54"/>
        <v>1205.3240000000001</v>
      </c>
      <c r="X133" s="230">
        <f t="shared" si="55"/>
        <v>0</v>
      </c>
      <c r="Y133" s="43">
        <f t="shared" si="55"/>
        <v>1205.3240000000001</v>
      </c>
      <c r="Z133" s="47"/>
      <c r="AA133" s="47"/>
    </row>
    <row r="134" spans="1:27" s="118" customFormat="1" ht="9.9499999999999993" customHeight="1" x14ac:dyDescent="0.15">
      <c r="A134" s="142" t="s">
        <v>230</v>
      </c>
      <c r="B134" s="212">
        <v>0.45</v>
      </c>
      <c r="C134" s="145">
        <f t="shared" si="50"/>
        <v>1335.1737049831975</v>
      </c>
      <c r="D134" s="43">
        <f t="shared" si="31"/>
        <v>1335173.7049831974</v>
      </c>
      <c r="E134" s="200">
        <v>1094587.1100000001</v>
      </c>
      <c r="F134" s="196">
        <f t="shared" si="26"/>
        <v>1603.394</v>
      </c>
      <c r="G134" s="191">
        <f t="shared" si="27"/>
        <v>1603394</v>
      </c>
      <c r="H134" s="36"/>
      <c r="I134" s="200">
        <f>L134-238394</f>
        <v>1365000</v>
      </c>
      <c r="J134" s="230"/>
      <c r="K134" s="43">
        <f t="shared" si="32"/>
        <v>1603.394</v>
      </c>
      <c r="L134" s="200">
        <v>1603394</v>
      </c>
      <c r="M134" s="196">
        <f t="shared" si="49"/>
        <v>0</v>
      </c>
      <c r="N134" s="36"/>
      <c r="O134" s="43">
        <f t="shared" si="51"/>
        <v>0</v>
      </c>
      <c r="P134" s="191">
        <f t="shared" si="47"/>
        <v>0</v>
      </c>
      <c r="Q134" s="230">
        <v>0</v>
      </c>
      <c r="R134" s="43">
        <f t="shared" si="52"/>
        <v>0</v>
      </c>
      <c r="S134" s="200"/>
      <c r="T134" s="36"/>
      <c r="U134" s="227">
        <f t="shared" si="29"/>
        <v>240586.59498319737</v>
      </c>
      <c r="V134" s="36">
        <f t="shared" si="53"/>
        <v>1335.1737049831975</v>
      </c>
      <c r="W134" s="36">
        <f t="shared" si="54"/>
        <v>1603.394</v>
      </c>
      <c r="X134" s="230">
        <f t="shared" si="55"/>
        <v>0</v>
      </c>
      <c r="Y134" s="43">
        <f t="shared" si="55"/>
        <v>1603.394</v>
      </c>
      <c r="Z134" s="47"/>
      <c r="AA134" s="47"/>
    </row>
    <row r="135" spans="1:27" s="118" customFormat="1" ht="9.9499999999999993" customHeight="1" x14ac:dyDescent="0.15">
      <c r="A135" s="142" t="s">
        <v>231</v>
      </c>
      <c r="B135" s="212">
        <v>0.8</v>
      </c>
      <c r="C135" s="145">
        <f t="shared" si="50"/>
        <v>427.70950219235084</v>
      </c>
      <c r="D135" s="43">
        <f t="shared" si="31"/>
        <v>427709.50219235086</v>
      </c>
      <c r="E135" s="200"/>
      <c r="F135" s="196">
        <f t="shared" si="26"/>
        <v>397.32400000000001</v>
      </c>
      <c r="G135" s="191">
        <f t="shared" si="27"/>
        <v>397324</v>
      </c>
      <c r="H135" s="36"/>
      <c r="I135" s="200"/>
      <c r="J135" s="230"/>
      <c r="K135" s="43">
        <f t="shared" si="32"/>
        <v>397.32400000000001</v>
      </c>
      <c r="L135" s="200">
        <v>397324</v>
      </c>
      <c r="M135" s="196">
        <f t="shared" si="49"/>
        <v>0</v>
      </c>
      <c r="N135" s="36"/>
      <c r="O135" s="43">
        <f t="shared" si="51"/>
        <v>0</v>
      </c>
      <c r="P135" s="191">
        <f t="shared" si="47"/>
        <v>0</v>
      </c>
      <c r="Q135" s="230">
        <v>0</v>
      </c>
      <c r="R135" s="43">
        <f t="shared" si="52"/>
        <v>0</v>
      </c>
      <c r="S135" s="200"/>
      <c r="T135" s="36"/>
      <c r="U135" s="227">
        <f t="shared" si="29"/>
        <v>427709.50219235086</v>
      </c>
      <c r="V135" s="36">
        <f t="shared" si="53"/>
        <v>427.70950219235084</v>
      </c>
      <c r="W135" s="36">
        <f t="shared" si="54"/>
        <v>397.32400000000001</v>
      </c>
      <c r="X135" s="230">
        <f t="shared" si="55"/>
        <v>0</v>
      </c>
      <c r="Y135" s="43">
        <f t="shared" si="55"/>
        <v>397.32400000000001</v>
      </c>
      <c r="Z135" s="47"/>
      <c r="AA135" s="47"/>
    </row>
    <row r="136" spans="1:27" s="118" customFormat="1" ht="9.9499999999999993" customHeight="1" x14ac:dyDescent="0.15">
      <c r="A136" s="142" t="s">
        <v>232</v>
      </c>
      <c r="B136" s="212">
        <v>2.76</v>
      </c>
      <c r="C136" s="145">
        <f t="shared" si="50"/>
        <v>4149.9354825636101</v>
      </c>
      <c r="D136" s="43">
        <f t="shared" si="31"/>
        <v>4149935.4825636102</v>
      </c>
      <c r="E136" s="200">
        <v>2674337.7000000002</v>
      </c>
      <c r="F136" s="196">
        <f t="shared" si="26"/>
        <v>3223.652</v>
      </c>
      <c r="G136" s="191">
        <f t="shared" si="27"/>
        <v>3223652</v>
      </c>
      <c r="H136" s="36"/>
      <c r="I136" s="200">
        <f>L136-1462152</f>
        <v>1761500</v>
      </c>
      <c r="J136" s="230"/>
      <c r="K136" s="43">
        <f t="shared" si="32"/>
        <v>3223.652</v>
      </c>
      <c r="L136" s="200">
        <v>3223652</v>
      </c>
      <c r="M136" s="196">
        <f t="shared" si="49"/>
        <v>-21.983000000000001</v>
      </c>
      <c r="N136" s="36"/>
      <c r="O136" s="43">
        <f t="shared" si="51"/>
        <v>0</v>
      </c>
      <c r="P136" s="191">
        <f t="shared" si="47"/>
        <v>0</v>
      </c>
      <c r="Q136" s="230">
        <v>0</v>
      </c>
      <c r="R136" s="43">
        <f t="shared" si="52"/>
        <v>0</v>
      </c>
      <c r="S136" s="200"/>
      <c r="T136" s="36">
        <v>21983</v>
      </c>
      <c r="U136" s="227">
        <f t="shared" si="29"/>
        <v>1475597.7825636102</v>
      </c>
      <c r="V136" s="36">
        <f t="shared" si="53"/>
        <v>4127.9524825636099</v>
      </c>
      <c r="W136" s="36">
        <f t="shared" si="54"/>
        <v>3223.652</v>
      </c>
      <c r="X136" s="230">
        <f t="shared" si="55"/>
        <v>0</v>
      </c>
      <c r="Y136" s="43">
        <f t="shared" si="55"/>
        <v>3223.652</v>
      </c>
      <c r="Z136" s="47"/>
      <c r="AA136" s="47"/>
    </row>
    <row r="137" spans="1:27" s="118" customFormat="1" ht="9.9499999999999993" customHeight="1" x14ac:dyDescent="0.15">
      <c r="A137" s="142" t="s">
        <v>233</v>
      </c>
      <c r="B137" s="212">
        <v>1.65</v>
      </c>
      <c r="C137" s="145">
        <f t="shared" si="50"/>
        <v>3019.7872082717231</v>
      </c>
      <c r="D137" s="43">
        <f t="shared" si="31"/>
        <v>3019787.2082717232</v>
      </c>
      <c r="E137" s="200">
        <f>2608336.36-470700</f>
        <v>2137636.36</v>
      </c>
      <c r="F137" s="196">
        <f t="shared" si="26"/>
        <v>3241.6239999999998</v>
      </c>
      <c r="G137" s="191">
        <f t="shared" si="27"/>
        <v>3241624</v>
      </c>
      <c r="H137" s="36"/>
      <c r="I137" s="200">
        <f>L137-847624</f>
        <v>2394000</v>
      </c>
      <c r="J137" s="230"/>
      <c r="K137" s="43">
        <f t="shared" si="32"/>
        <v>3241.6239999999998</v>
      </c>
      <c r="L137" s="200">
        <v>3241624</v>
      </c>
      <c r="M137" s="196">
        <f t="shared" si="49"/>
        <v>-662.54339000000004</v>
      </c>
      <c r="N137" s="36"/>
      <c r="O137" s="43">
        <f t="shared" si="51"/>
        <v>0</v>
      </c>
      <c r="P137" s="191">
        <f t="shared" si="47"/>
        <v>0</v>
      </c>
      <c r="Q137" s="230"/>
      <c r="R137" s="43">
        <f t="shared" si="52"/>
        <v>0</v>
      </c>
      <c r="S137" s="200"/>
      <c r="T137" s="36">
        <f>6.65+23775.62+638761.12</f>
        <v>662543.39</v>
      </c>
      <c r="U137" s="227">
        <f t="shared" si="29"/>
        <v>882150.8482717236</v>
      </c>
      <c r="V137" s="36">
        <f t="shared" si="53"/>
        <v>2357.2438182717233</v>
      </c>
      <c r="W137" s="36">
        <f t="shared" si="54"/>
        <v>3241.6239999999998</v>
      </c>
      <c r="X137" s="230">
        <f t="shared" si="55"/>
        <v>0</v>
      </c>
      <c r="Y137" s="43">
        <f t="shared" si="55"/>
        <v>3241.6239999999998</v>
      </c>
      <c r="Z137" s="47"/>
      <c r="AA137" s="47"/>
    </row>
    <row r="138" spans="1:27" s="118" customFormat="1" ht="9.9499999999999993" customHeight="1" x14ac:dyDescent="0.15">
      <c r="A138" s="142" t="s">
        <v>234</v>
      </c>
      <c r="B138" s="212">
        <v>1.6</v>
      </c>
      <c r="C138" s="145">
        <f t="shared" si="50"/>
        <v>2860.7668143847018</v>
      </c>
      <c r="D138" s="43">
        <f t="shared" si="31"/>
        <v>2860766.8143847017</v>
      </c>
      <c r="E138" s="200">
        <v>2005347.81</v>
      </c>
      <c r="F138" s="196">
        <f t="shared" ref="F138:F145" si="56">G138/1000</f>
        <v>2707.6239999999998</v>
      </c>
      <c r="G138" s="191">
        <f t="shared" ref="G138:G145" si="57">L138</f>
        <v>2707624</v>
      </c>
      <c r="H138" s="36"/>
      <c r="I138" s="200">
        <f>L138-847624</f>
        <v>1860000</v>
      </c>
      <c r="J138" s="230"/>
      <c r="K138" s="43">
        <f t="shared" si="32"/>
        <v>2707.6239999999998</v>
      </c>
      <c r="L138" s="200">
        <v>2707624</v>
      </c>
      <c r="M138" s="196">
        <f t="shared" si="49"/>
        <v>0</v>
      </c>
      <c r="N138" s="36"/>
      <c r="O138" s="43">
        <f t="shared" si="51"/>
        <v>0</v>
      </c>
      <c r="P138" s="191">
        <f t="shared" si="47"/>
        <v>0</v>
      </c>
      <c r="Q138" s="230">
        <v>0</v>
      </c>
      <c r="R138" s="43">
        <f t="shared" si="52"/>
        <v>0</v>
      </c>
      <c r="S138" s="200"/>
      <c r="T138" s="36"/>
      <c r="U138" s="227">
        <f t="shared" ref="U138:U144" si="58">$U$8/$B$8*B138</f>
        <v>855419.00438470172</v>
      </c>
      <c r="V138" s="36">
        <f t="shared" si="53"/>
        <v>2860.7668143847018</v>
      </c>
      <c r="W138" s="36">
        <f t="shared" si="54"/>
        <v>2707.6239999999998</v>
      </c>
      <c r="X138" s="230">
        <f>J138+Q138</f>
        <v>0</v>
      </c>
      <c r="Y138" s="43">
        <f t="shared" si="55"/>
        <v>2707.6239999999998</v>
      </c>
      <c r="Z138" s="47"/>
      <c r="AA138" s="47"/>
    </row>
    <row r="139" spans="1:27" s="118" customFormat="1" ht="9" hidden="1" customHeight="1" x14ac:dyDescent="0.15">
      <c r="A139" s="147"/>
      <c r="B139" s="214"/>
      <c r="C139" s="140"/>
      <c r="D139" s="41">
        <f t="shared" si="31"/>
        <v>0</v>
      </c>
      <c r="E139" s="198"/>
      <c r="F139" s="195">
        <f t="shared" si="56"/>
        <v>0</v>
      </c>
      <c r="G139" s="191">
        <f t="shared" si="57"/>
        <v>0</v>
      </c>
      <c r="H139" s="33"/>
      <c r="I139" s="198"/>
      <c r="J139" s="231"/>
      <c r="K139" s="41">
        <f t="shared" si="32"/>
        <v>0</v>
      </c>
      <c r="L139" s="198"/>
      <c r="M139" s="195">
        <f t="shared" si="49"/>
        <v>0</v>
      </c>
      <c r="N139" s="33"/>
      <c r="O139" s="41"/>
      <c r="P139" s="191">
        <f t="shared" si="47"/>
        <v>0</v>
      </c>
      <c r="Q139" s="231"/>
      <c r="R139" s="41"/>
      <c r="S139" s="198"/>
      <c r="T139" s="33"/>
      <c r="U139" s="210">
        <f t="shared" si="58"/>
        <v>0</v>
      </c>
      <c r="V139" s="33"/>
      <c r="W139" s="33"/>
      <c r="X139" s="230"/>
      <c r="Y139" s="41"/>
      <c r="Z139" s="47"/>
      <c r="AA139" s="47"/>
    </row>
    <row r="140" spans="1:27" s="179" customFormat="1" x14ac:dyDescent="0.15">
      <c r="A140" s="168" t="s">
        <v>87</v>
      </c>
      <c r="B140" s="216">
        <f>B141</f>
        <v>0.05</v>
      </c>
      <c r="C140" s="170">
        <f>D140/1000</f>
        <v>49.510153887021929</v>
      </c>
      <c r="D140" s="191">
        <f t="shared" si="31"/>
        <v>49510.15388702193</v>
      </c>
      <c r="E140" s="191">
        <f>SUM(E141:E142)</f>
        <v>22778.31</v>
      </c>
      <c r="F140" s="191">
        <f t="shared" si="56"/>
        <v>26.488</v>
      </c>
      <c r="G140" s="191">
        <f t="shared" si="57"/>
        <v>26488</v>
      </c>
      <c r="H140" s="171"/>
      <c r="I140" s="191">
        <f>I141</f>
        <v>0</v>
      </c>
      <c r="J140" s="191">
        <v>0</v>
      </c>
      <c r="K140" s="191">
        <f t="shared" si="32"/>
        <v>26.488</v>
      </c>
      <c r="L140" s="191">
        <f>L141</f>
        <v>26488</v>
      </c>
      <c r="M140" s="191">
        <f t="shared" si="49"/>
        <v>-4864.34771</v>
      </c>
      <c r="N140" s="171">
        <f>N141</f>
        <v>0</v>
      </c>
      <c r="O140" s="171">
        <f>P140/1000*-1</f>
        <v>-3600</v>
      </c>
      <c r="P140" s="191">
        <f t="shared" si="47"/>
        <v>3600000</v>
      </c>
      <c r="Q140" s="191">
        <f>Q141</f>
        <v>0</v>
      </c>
      <c r="R140" s="171">
        <f>S140/1000*-1</f>
        <v>-3600</v>
      </c>
      <c r="S140" s="191">
        <f>S141</f>
        <v>3600000</v>
      </c>
      <c r="T140" s="176">
        <f>T141+T142</f>
        <v>4864347.71</v>
      </c>
      <c r="U140" s="210">
        <f t="shared" si="58"/>
        <v>26731.843887021929</v>
      </c>
      <c r="V140" s="173">
        <f>C140+M140</f>
        <v>-4814.8375561129778</v>
      </c>
      <c r="W140" s="173">
        <f>F140+O140</f>
        <v>-3573.5120000000002</v>
      </c>
      <c r="X140" s="198">
        <f>J140+Q140</f>
        <v>0</v>
      </c>
      <c r="Y140" s="171">
        <f>K140+R140</f>
        <v>-3573.5120000000002</v>
      </c>
      <c r="Z140" s="174"/>
      <c r="AA140" s="174"/>
    </row>
    <row r="141" spans="1:27" s="117" customFormat="1" ht="9.75" customHeight="1" x14ac:dyDescent="0.15">
      <c r="A141" s="142" t="s">
        <v>235</v>
      </c>
      <c r="B141" s="212">
        <v>0.05</v>
      </c>
      <c r="C141" s="145">
        <f>D141/1000</f>
        <v>49.510153887021929</v>
      </c>
      <c r="D141" s="43">
        <f t="shared" si="31"/>
        <v>49510.15388702193</v>
      </c>
      <c r="E141" s="200">
        <v>22778.31</v>
      </c>
      <c r="F141" s="196">
        <f t="shared" si="56"/>
        <v>26.488</v>
      </c>
      <c r="G141" s="191">
        <f t="shared" si="57"/>
        <v>26488</v>
      </c>
      <c r="H141" s="36"/>
      <c r="I141" s="200"/>
      <c r="J141" s="230">
        <v>0</v>
      </c>
      <c r="K141" s="43">
        <f t="shared" si="32"/>
        <v>26.488</v>
      </c>
      <c r="L141" s="200">
        <v>26488</v>
      </c>
      <c r="M141" s="196">
        <f t="shared" si="49"/>
        <v>-4864.34771</v>
      </c>
      <c r="N141" s="36"/>
      <c r="O141" s="43">
        <f>P141/1000*-1</f>
        <v>-3600</v>
      </c>
      <c r="P141" s="191">
        <f t="shared" si="47"/>
        <v>3600000</v>
      </c>
      <c r="Q141" s="230"/>
      <c r="R141" s="43">
        <f>S141/1000*-1</f>
        <v>-3600</v>
      </c>
      <c r="S141" s="200">
        <v>3600000</v>
      </c>
      <c r="T141" s="36">
        <f>1316359.9+3547987.81</f>
        <v>4864347.71</v>
      </c>
      <c r="U141" s="227">
        <f t="shared" si="58"/>
        <v>26731.843887021929</v>
      </c>
      <c r="V141" s="36">
        <f>C141+M141</f>
        <v>-4814.8375561129778</v>
      </c>
      <c r="W141" s="36">
        <f>F141+O141</f>
        <v>-3573.5120000000002</v>
      </c>
      <c r="X141" s="230">
        <f>J141+Q141</f>
        <v>0</v>
      </c>
      <c r="Y141" s="43">
        <f>K141+R141</f>
        <v>-3573.5120000000002</v>
      </c>
      <c r="Z141" s="47"/>
      <c r="AA141" s="47"/>
    </row>
    <row r="142" spans="1:27" s="117" customFormat="1" ht="9" customHeight="1" x14ac:dyDescent="0.15">
      <c r="A142" s="142"/>
      <c r="B142" s="212"/>
      <c r="C142" s="145"/>
      <c r="D142" s="43">
        <f t="shared" si="31"/>
        <v>0</v>
      </c>
      <c r="E142" s="200"/>
      <c r="F142" s="196">
        <f t="shared" si="56"/>
        <v>0</v>
      </c>
      <c r="G142" s="191">
        <f t="shared" si="57"/>
        <v>0</v>
      </c>
      <c r="H142" s="36"/>
      <c r="I142" s="200"/>
      <c r="J142" s="230"/>
      <c r="K142" s="43"/>
      <c r="L142" s="200"/>
      <c r="M142" s="196"/>
      <c r="N142" s="36"/>
      <c r="O142" s="43"/>
      <c r="P142" s="191">
        <f t="shared" si="47"/>
        <v>0</v>
      </c>
      <c r="Q142" s="230"/>
      <c r="R142" s="43"/>
      <c r="S142" s="200"/>
      <c r="T142" s="36"/>
      <c r="U142" s="227">
        <f t="shared" si="58"/>
        <v>0</v>
      </c>
      <c r="V142" s="36"/>
      <c r="W142" s="36"/>
      <c r="X142" s="230"/>
      <c r="Y142" s="43"/>
      <c r="Z142" s="47"/>
      <c r="AA142" s="47"/>
    </row>
    <row r="143" spans="1:27" s="189" customFormat="1" ht="9.75" customHeight="1" x14ac:dyDescent="0.15">
      <c r="A143" s="186" t="s">
        <v>119</v>
      </c>
      <c r="B143" s="217">
        <f>B144</f>
        <v>0</v>
      </c>
      <c r="C143" s="170"/>
      <c r="D143" s="191">
        <f t="shared" si="31"/>
        <v>0</v>
      </c>
      <c r="E143" s="198"/>
      <c r="F143" s="191">
        <f t="shared" si="56"/>
        <v>0</v>
      </c>
      <c r="G143" s="191">
        <f t="shared" si="57"/>
        <v>0</v>
      </c>
      <c r="H143" s="173"/>
      <c r="I143" s="198"/>
      <c r="J143" s="198"/>
      <c r="K143" s="191">
        <f t="shared" si="32"/>
        <v>0</v>
      </c>
      <c r="L143" s="198">
        <f>L144</f>
        <v>0</v>
      </c>
      <c r="M143" s="191">
        <f t="shared" si="49"/>
        <v>0</v>
      </c>
      <c r="N143" s="173"/>
      <c r="O143" s="171">
        <v>0</v>
      </c>
      <c r="P143" s="191">
        <f t="shared" si="47"/>
        <v>0</v>
      </c>
      <c r="Q143" s="198">
        <v>0</v>
      </c>
      <c r="R143" s="171">
        <v>0</v>
      </c>
      <c r="S143" s="198"/>
      <c r="T143" s="173"/>
      <c r="U143" s="210">
        <f t="shared" si="58"/>
        <v>0</v>
      </c>
      <c r="V143" s="173">
        <v>0</v>
      </c>
      <c r="W143" s="173">
        <v>0</v>
      </c>
      <c r="X143" s="198">
        <f>J143+Q143</f>
        <v>0</v>
      </c>
      <c r="Y143" s="171">
        <f>K143+R143</f>
        <v>0</v>
      </c>
      <c r="Z143" s="174"/>
      <c r="AA143" s="174"/>
    </row>
    <row r="144" spans="1:27" s="117" customFormat="1" x14ac:dyDescent="0.15">
      <c r="A144" s="142"/>
      <c r="B144" s="212">
        <v>0</v>
      </c>
      <c r="C144" s="145">
        <f>D144/1000</f>
        <v>0</v>
      </c>
      <c r="D144" s="43">
        <f t="shared" si="31"/>
        <v>0</v>
      </c>
      <c r="E144" s="200"/>
      <c r="F144" s="196">
        <f t="shared" si="56"/>
        <v>0</v>
      </c>
      <c r="G144" s="191">
        <f t="shared" si="57"/>
        <v>0</v>
      </c>
      <c r="H144" s="36">
        <f>L144/2</f>
        <v>0</v>
      </c>
      <c r="I144" s="200"/>
      <c r="J144" s="230"/>
      <c r="K144" s="43">
        <f t="shared" si="32"/>
        <v>0</v>
      </c>
      <c r="L144" s="200"/>
      <c r="M144" s="196">
        <f t="shared" si="49"/>
        <v>0</v>
      </c>
      <c r="N144" s="36"/>
      <c r="O144" s="43">
        <f>P144/1000*-1</f>
        <v>0</v>
      </c>
      <c r="P144" s="191">
        <f t="shared" si="47"/>
        <v>0</v>
      </c>
      <c r="Q144" s="230">
        <v>0</v>
      </c>
      <c r="R144" s="43">
        <f>S144/1000*-1</f>
        <v>0</v>
      </c>
      <c r="S144" s="200"/>
      <c r="T144" s="36"/>
      <c r="U144" s="227">
        <f t="shared" si="58"/>
        <v>0</v>
      </c>
      <c r="V144" s="36">
        <f>C144+M144</f>
        <v>0</v>
      </c>
      <c r="W144" s="36">
        <f>F144+O144</f>
        <v>0</v>
      </c>
      <c r="X144" s="230">
        <f>J144+Q144</f>
        <v>0</v>
      </c>
      <c r="Y144" s="43">
        <v>0</v>
      </c>
      <c r="Z144" s="47"/>
      <c r="AA144" s="47"/>
    </row>
    <row r="145" spans="1:27" s="117" customFormat="1" x14ac:dyDescent="0.15">
      <c r="A145" s="156" t="s">
        <v>95</v>
      </c>
      <c r="B145" s="157">
        <f>B9+B36+B94+B118+B126+B132+B140</f>
        <v>62.489999999999995</v>
      </c>
      <c r="C145" s="140">
        <f>D145/1000</f>
        <v>76597.346510000003</v>
      </c>
      <c r="D145" s="158">
        <f>D140+D132+D126+D118+D94+D36+D9+D143</f>
        <v>76597346.510000005</v>
      </c>
      <c r="E145" s="204">
        <f>E140+E132+E126+E118+E94+E36+E9+E143+E144</f>
        <v>43187888.020000003</v>
      </c>
      <c r="F145" s="195">
        <f t="shared" si="56"/>
        <v>73510.389249999993</v>
      </c>
      <c r="G145" s="191">
        <f t="shared" si="57"/>
        <v>73510389.25</v>
      </c>
      <c r="H145" s="158">
        <f>H140+H132+H126+H118+H94+H36+H9+H143</f>
        <v>4134.54</v>
      </c>
      <c r="I145" s="204">
        <f>I140+I132+I126+I118+I94+I36+I9+I143</f>
        <v>40387398</v>
      </c>
      <c r="J145" s="232">
        <f>J132+J126+J94+J36+J9+J143+J118+J140</f>
        <v>0</v>
      </c>
      <c r="K145" s="41">
        <f t="shared" si="32"/>
        <v>73510.389249999993</v>
      </c>
      <c r="L145" s="191">
        <f>L140+L132+L126+L118+L94+L36+L9+L143</f>
        <v>73510389.25</v>
      </c>
      <c r="M145" s="195">
        <f t="shared" si="49"/>
        <v>-76074.913509999984</v>
      </c>
      <c r="N145" s="158">
        <f>N140+N132+N126+N118+N94+N36</f>
        <v>0</v>
      </c>
      <c r="O145" s="41">
        <f>P145/1000*-1</f>
        <v>-73414.051000000007</v>
      </c>
      <c r="P145" s="191">
        <f t="shared" si="47"/>
        <v>73414051</v>
      </c>
      <c r="Q145" s="232">
        <f>Q140+Q132+Q126+Q118+Q94+Q36+Q9</f>
        <v>0</v>
      </c>
      <c r="R145" s="41">
        <f>S145/1000*-1</f>
        <v>-73414.051000000007</v>
      </c>
      <c r="S145" s="221">
        <f>S143+S140+S132+S126+S118+S94+S36+S9</f>
        <v>73414051</v>
      </c>
      <c r="T145" s="161">
        <f>T140+T132+T126+T118+T94+T36</f>
        <v>76074913.50999999</v>
      </c>
      <c r="U145" s="211">
        <f>U143+U140+U132+U126+U118+U94+U36+U9</f>
        <v>33409458.490000006</v>
      </c>
      <c r="V145" s="33">
        <f>C145+M145</f>
        <v>522.43300000001909</v>
      </c>
      <c r="W145" s="33">
        <f>F145+O145+1</f>
        <v>97.338249999986147</v>
      </c>
      <c r="X145" s="231">
        <f>J145+Q145</f>
        <v>0</v>
      </c>
      <c r="Y145" s="41">
        <f>K145+R145</f>
        <v>96.338249999986147</v>
      </c>
      <c r="Z145" s="47"/>
      <c r="AA145" s="47"/>
    </row>
    <row r="146" spans="1:27" s="42" customFormat="1" x14ac:dyDescent="0.15">
      <c r="A146" s="163"/>
      <c r="B146" s="213"/>
      <c r="C146" s="121"/>
      <c r="D146" s="122"/>
      <c r="E146" s="197">
        <v>-638761.12</v>
      </c>
      <c r="F146" s="192"/>
      <c r="G146" s="192"/>
      <c r="H146" s="47"/>
      <c r="I146" s="197"/>
      <c r="J146" s="228"/>
      <c r="K146" s="47"/>
      <c r="L146" s="197"/>
      <c r="M146" s="225"/>
      <c r="N146" s="47"/>
      <c r="O146" s="47"/>
      <c r="P146" s="197"/>
      <c r="Q146" s="228"/>
      <c r="R146" s="47"/>
      <c r="S146" s="197"/>
      <c r="T146" s="47"/>
      <c r="U146" s="206"/>
      <c r="V146" s="47"/>
      <c r="W146" s="164"/>
      <c r="X146" s="237"/>
    </row>
    <row r="147" spans="1:27" s="42" customFormat="1" x14ac:dyDescent="0.15">
      <c r="A147" s="39"/>
      <c r="B147" s="213"/>
      <c r="C147" s="121"/>
      <c r="D147" s="122"/>
      <c r="E147" s="197">
        <v>-3547987.81</v>
      </c>
      <c r="F147" s="192"/>
      <c r="G147" s="192"/>
      <c r="H147" s="47"/>
      <c r="I147" s="197"/>
      <c r="J147" s="228"/>
      <c r="K147" s="47"/>
      <c r="L147" s="197"/>
      <c r="M147" s="225"/>
      <c r="N147" s="47"/>
      <c r="O147" s="47"/>
      <c r="P147" s="197"/>
      <c r="Q147" s="228"/>
      <c r="R147" s="47"/>
      <c r="S147" s="197"/>
      <c r="T147" s="47">
        <f>T145+T146</f>
        <v>76074913.50999999</v>
      </c>
      <c r="U147" s="206"/>
      <c r="V147" s="47"/>
      <c r="W147" s="164"/>
      <c r="X147" s="237"/>
    </row>
    <row r="148" spans="1:27" x14ac:dyDescent="0.15">
      <c r="B148" s="218"/>
      <c r="C148" s="167"/>
      <c r="D148" s="167"/>
      <c r="E148" s="202"/>
      <c r="F148" s="223"/>
      <c r="G148" s="223">
        <f t="shared" ref="G148:L148" si="59">Q146-G146</f>
        <v>0</v>
      </c>
      <c r="H148" s="167">
        <f t="shared" si="59"/>
        <v>0</v>
      </c>
      <c r="I148" s="202">
        <f t="shared" si="59"/>
        <v>0</v>
      </c>
      <c r="J148" s="233"/>
      <c r="K148" s="167"/>
      <c r="L148" s="202">
        <f t="shared" si="59"/>
        <v>0</v>
      </c>
      <c r="M148" s="223"/>
      <c r="T148" s="47">
        <v>70400026.650000006</v>
      </c>
    </row>
    <row r="149" spans="1:27" s="42" customFormat="1" x14ac:dyDescent="0.15">
      <c r="A149" s="39"/>
      <c r="B149" s="218"/>
      <c r="C149" s="167"/>
      <c r="D149" s="122"/>
      <c r="E149" s="197">
        <f>E145+E146+E148+E147</f>
        <v>39001139.090000004</v>
      </c>
      <c r="F149" s="192"/>
      <c r="G149" s="192"/>
      <c r="H149" s="47"/>
      <c r="I149" s="197"/>
      <c r="J149" s="228"/>
      <c r="K149" s="47"/>
      <c r="L149" s="197"/>
      <c r="M149" s="242"/>
      <c r="N149" s="47"/>
      <c r="O149" s="47"/>
      <c r="P149" s="197"/>
      <c r="Q149" s="228"/>
      <c r="R149" s="47"/>
      <c r="S149" s="197"/>
      <c r="T149" s="47">
        <f>T147-T148</f>
        <v>5674886.8599999845</v>
      </c>
      <c r="U149" s="206"/>
      <c r="V149" s="47"/>
      <c r="W149" s="164"/>
      <c r="X149" s="237"/>
    </row>
    <row r="150" spans="1:27" x14ac:dyDescent="0.15">
      <c r="E150" s="197">
        <v>33761014.57</v>
      </c>
      <c r="M150" s="243"/>
    </row>
    <row r="151" spans="1:27" x14ac:dyDescent="0.15">
      <c r="E151" s="197">
        <f>E149+E150</f>
        <v>72762153.659999996</v>
      </c>
      <c r="M151" s="244"/>
      <c r="T151" s="47">
        <v>1475472.68</v>
      </c>
    </row>
    <row r="152" spans="1:27" x14ac:dyDescent="0.15">
      <c r="E152" s="197">
        <v>71222459.640000001</v>
      </c>
      <c r="M152" s="244"/>
      <c r="T152" s="47">
        <v>12665.25</v>
      </c>
    </row>
    <row r="153" spans="1:27" x14ac:dyDescent="0.15">
      <c r="E153" s="197">
        <f>E151-E152</f>
        <v>1539694.0199999958</v>
      </c>
      <c r="M153" s="244"/>
      <c r="T153" s="47">
        <f>T151+T152</f>
        <v>1488137.93</v>
      </c>
    </row>
    <row r="154" spans="1:27" x14ac:dyDescent="0.15">
      <c r="M154" s="245"/>
    </row>
    <row r="155" spans="1:27" x14ac:dyDescent="0.15">
      <c r="M155" s="223"/>
    </row>
  </sheetData>
  <mergeCells count="4">
    <mergeCell ref="A4:W4"/>
    <mergeCell ref="C6:K6"/>
    <mergeCell ref="M6:R6"/>
    <mergeCell ref="V6:Y6"/>
  </mergeCells>
  <pageMargins left="0.94488188976377963" right="0.55118110236220474" top="0" bottom="0" header="0" footer="0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0"/>
  <sheetViews>
    <sheetView workbookViewId="0"/>
  </sheetViews>
  <sheetFormatPr defaultRowHeight="10.5" x14ac:dyDescent="0.15"/>
  <cols>
    <col min="1" max="1" width="26.5703125" style="39" customWidth="1"/>
    <col min="2" max="2" width="6.85546875" style="213" customWidth="1"/>
    <col min="3" max="3" width="10.42578125" style="121" customWidth="1"/>
    <col min="4" max="4" width="10.85546875" style="122" customWidth="1"/>
    <col min="5" max="5" width="15.140625" style="197" customWidth="1"/>
    <col min="6" max="6" width="7.7109375" style="192" hidden="1" customWidth="1"/>
    <col min="7" max="7" width="8.7109375" style="192" hidden="1" customWidth="1"/>
    <col min="8" max="8" width="14" style="47" hidden="1" customWidth="1"/>
    <col min="9" max="9" width="12.140625" style="197" hidden="1" customWidth="1"/>
    <col min="10" max="10" width="6.42578125" style="228" hidden="1" customWidth="1"/>
    <col min="11" max="11" width="7" style="47" customWidth="1"/>
    <col min="12" max="12" width="16" style="197" hidden="1" customWidth="1"/>
    <col min="13" max="13" width="7.7109375" style="192" customWidth="1"/>
    <col min="14" max="14" width="10.140625" style="47" hidden="1" customWidth="1"/>
    <col min="15" max="15" width="7.7109375" style="47" hidden="1" customWidth="1"/>
    <col min="16" max="16" width="11.28515625" style="197" hidden="1" customWidth="1"/>
    <col min="17" max="17" width="7.7109375" style="228" hidden="1" customWidth="1"/>
    <col min="18" max="18" width="7.140625" style="47" customWidth="1"/>
    <col min="19" max="19" width="14.140625" style="197" hidden="1" customWidth="1"/>
    <col min="20" max="20" width="20.7109375" style="47" customWidth="1"/>
    <col min="21" max="21" width="16.7109375" style="206" hidden="1" customWidth="1"/>
    <col min="22" max="22" width="9" style="47" customWidth="1"/>
    <col min="23" max="23" width="8.7109375" style="47" hidden="1" customWidth="1"/>
    <col min="24" max="24" width="7.7109375" style="235" hidden="1" customWidth="1"/>
    <col min="25" max="25" width="7.7109375" style="39" customWidth="1"/>
    <col min="26" max="26" width="11.85546875" style="39" bestFit="1" customWidth="1"/>
    <col min="27" max="16384" width="9.140625" style="39"/>
  </cols>
  <sheetData>
    <row r="1" spans="1:27" x14ac:dyDescent="0.15">
      <c r="J1" s="192"/>
      <c r="Q1" s="192"/>
      <c r="X1" s="238"/>
    </row>
    <row r="2" spans="1:27" x14ac:dyDescent="0.15">
      <c r="D2" s="122">
        <f>D145</f>
        <v>37569030.570000008</v>
      </c>
      <c r="J2" s="192"/>
      <c r="L2" s="197">
        <f>L145</f>
        <v>73497724</v>
      </c>
      <c r="Q2" s="192"/>
      <c r="X2" s="238"/>
    </row>
    <row r="3" spans="1:27" x14ac:dyDescent="0.15">
      <c r="J3" s="192"/>
      <c r="N3" s="38"/>
      <c r="Q3" s="192"/>
      <c r="U3" s="206">
        <f>U10+U11+U29+U30+U31+U32+U34+U33+U38+U39+U40+U41+U42++U45+U46+U48+U49+U50+U51+U53+U54+U55+U56+U57+U59+U60+U65+U67+U68+U71+U72+U76+U75+U77+U78+U82+U84+U86+U87+U90+U89+U91+U98+U96+U99+U100+U101+U102+U103+U106+U108+U109+U110+U112+U111+U113+U114+U115+U116+U119+U120+U121+U122+U125+U124+U127+U128+U129+U130+U133+U134+U135+U136+U137+U148</f>
        <v>29438913.168815821</v>
      </c>
      <c r="X3" s="238"/>
    </row>
    <row r="4" spans="1:27" x14ac:dyDescent="0.15">
      <c r="A4" s="441" t="s">
        <v>240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239"/>
    </row>
    <row r="5" spans="1:27" x14ac:dyDescent="0.15">
      <c r="J5" s="192"/>
      <c r="Q5" s="192"/>
      <c r="X5" s="238"/>
    </row>
    <row r="6" spans="1:27" x14ac:dyDescent="0.15">
      <c r="A6" s="124" t="s">
        <v>114</v>
      </c>
      <c r="B6" s="212"/>
      <c r="C6" s="431" t="s">
        <v>111</v>
      </c>
      <c r="D6" s="432"/>
      <c r="E6" s="432"/>
      <c r="F6" s="432"/>
      <c r="G6" s="432"/>
      <c r="H6" s="432"/>
      <c r="I6" s="432"/>
      <c r="J6" s="432"/>
      <c r="K6" s="433"/>
      <c r="L6" s="198" t="s">
        <v>42</v>
      </c>
      <c r="M6" s="434" t="s">
        <v>112</v>
      </c>
      <c r="N6" s="435"/>
      <c r="O6" s="435"/>
      <c r="P6" s="435"/>
      <c r="Q6" s="435"/>
      <c r="R6" s="436"/>
      <c r="S6" s="219" t="s">
        <v>43</v>
      </c>
      <c r="T6" s="127" t="s">
        <v>241</v>
      </c>
      <c r="U6" s="207" t="s">
        <v>39</v>
      </c>
      <c r="V6" s="438" t="s">
        <v>113</v>
      </c>
      <c r="W6" s="439"/>
      <c r="X6" s="439"/>
      <c r="Y6" s="440"/>
    </row>
    <row r="7" spans="1:27" x14ac:dyDescent="0.15">
      <c r="A7" s="129" t="s">
        <v>96</v>
      </c>
      <c r="B7" s="214" t="s">
        <v>36</v>
      </c>
      <c r="C7" s="130" t="s">
        <v>244</v>
      </c>
      <c r="D7" s="131"/>
      <c r="E7" s="199" t="s">
        <v>121</v>
      </c>
      <c r="F7" s="193" t="s">
        <v>242</v>
      </c>
      <c r="G7" s="224"/>
      <c r="H7" s="44"/>
      <c r="I7" s="199" t="s">
        <v>123</v>
      </c>
      <c r="J7" s="229" t="s">
        <v>115</v>
      </c>
      <c r="K7" s="40" t="s">
        <v>140</v>
      </c>
      <c r="L7" s="199" t="s">
        <v>141</v>
      </c>
      <c r="M7" s="224" t="s">
        <v>243</v>
      </c>
      <c r="N7" s="44"/>
      <c r="O7" s="44" t="s">
        <v>237</v>
      </c>
      <c r="P7" s="199" t="s">
        <v>89</v>
      </c>
      <c r="Q7" s="229" t="s">
        <v>115</v>
      </c>
      <c r="R7" s="40" t="s">
        <v>140</v>
      </c>
      <c r="S7" s="199"/>
      <c r="T7" s="44"/>
      <c r="U7" s="208"/>
      <c r="V7" s="40" t="s">
        <v>243</v>
      </c>
      <c r="W7" s="40" t="s">
        <v>238</v>
      </c>
      <c r="X7" s="236" t="s">
        <v>115</v>
      </c>
      <c r="Y7" s="40" t="s">
        <v>140</v>
      </c>
    </row>
    <row r="8" spans="1:27" ht="9" customHeight="1" x14ac:dyDescent="0.15">
      <c r="A8" s="133"/>
      <c r="B8" s="215">
        <f>B145</f>
        <v>62.489999999999995</v>
      </c>
      <c r="C8" s="135"/>
      <c r="D8" s="136" t="s">
        <v>41</v>
      </c>
      <c r="E8" s="203" t="s">
        <v>40</v>
      </c>
      <c r="F8" s="222"/>
      <c r="G8" s="194"/>
      <c r="H8" s="36"/>
      <c r="I8" s="200"/>
      <c r="J8" s="230"/>
      <c r="K8" s="36"/>
      <c r="L8" s="200"/>
      <c r="M8" s="194"/>
      <c r="N8" s="190"/>
      <c r="O8" s="36"/>
      <c r="P8" s="200"/>
      <c r="Q8" s="230"/>
      <c r="R8" s="36"/>
      <c r="S8" s="220"/>
      <c r="T8" s="48"/>
      <c r="U8" s="209">
        <v>33761014.57</v>
      </c>
      <c r="V8" s="48"/>
      <c r="W8" s="48"/>
      <c r="X8" s="230"/>
      <c r="Y8" s="36"/>
    </row>
    <row r="9" spans="1:27" s="175" customFormat="1" ht="10.5" customHeight="1" x14ac:dyDescent="0.15">
      <c r="A9" s="168" t="s">
        <v>49</v>
      </c>
      <c r="B9" s="216">
        <f>B10+B11+B26</f>
        <v>12.399999999999999</v>
      </c>
      <c r="C9" s="170">
        <f>D9/1000</f>
        <v>7476.7966318354947</v>
      </c>
      <c r="D9" s="171">
        <f>D10+D11+D26</f>
        <v>7476796.6318354951</v>
      </c>
      <c r="E9" s="191">
        <f>E10+E11+E26</f>
        <v>777539.46</v>
      </c>
      <c r="F9" s="191">
        <f>G9/1000</f>
        <v>7363.5889999999999</v>
      </c>
      <c r="G9" s="191">
        <f>L9</f>
        <v>7363589</v>
      </c>
      <c r="H9" s="171">
        <f>H10+H11+H26</f>
        <v>0</v>
      </c>
      <c r="I9" s="191">
        <f>I10+I11+I26</f>
        <v>794500</v>
      </c>
      <c r="J9" s="191">
        <f>J10+J11+J26</f>
        <v>0</v>
      </c>
      <c r="K9" s="171">
        <f>L9/1000</f>
        <v>7363.5889999999999</v>
      </c>
      <c r="L9" s="191">
        <f>L10+L11+L26</f>
        <v>7363589</v>
      </c>
      <c r="M9" s="191">
        <f>T9/1000*-1</f>
        <v>0</v>
      </c>
      <c r="N9" s="171">
        <f>N10+N11+N26+N34</f>
        <v>0</v>
      </c>
      <c r="O9" s="171">
        <f>P9/1000*-1</f>
        <v>-247.5</v>
      </c>
      <c r="P9" s="191">
        <f>S9</f>
        <v>247500</v>
      </c>
      <c r="Q9" s="191">
        <f>Q10+Q11+Q26</f>
        <v>0</v>
      </c>
      <c r="R9" s="171">
        <f>S9/1000*-1</f>
        <v>-247.5</v>
      </c>
      <c r="S9" s="191">
        <f>S10+S11+S26</f>
        <v>247500</v>
      </c>
      <c r="T9" s="171">
        <f>T10+T11+T26+T34</f>
        <v>0</v>
      </c>
      <c r="U9" s="210">
        <f>$U$8/$B$8*B9</f>
        <v>6699257.1718354942</v>
      </c>
      <c r="V9" s="173">
        <f>C9+M9</f>
        <v>7476.7966318354947</v>
      </c>
      <c r="W9" s="173">
        <f>F9+O9</f>
        <v>7116.0889999999999</v>
      </c>
      <c r="X9" s="198">
        <f t="shared" ref="X9:Y11" si="0">J9+Q9</f>
        <v>0</v>
      </c>
      <c r="Y9" s="171">
        <f t="shared" si="0"/>
        <v>7116.0889999999999</v>
      </c>
      <c r="Z9" s="174"/>
      <c r="AA9" s="174"/>
    </row>
    <row r="10" spans="1:27" ht="9.9499999999999993" customHeight="1" x14ac:dyDescent="0.15">
      <c r="A10" s="142" t="s">
        <v>136</v>
      </c>
      <c r="B10" s="212">
        <v>5.25</v>
      </c>
      <c r="C10" s="140">
        <f>D10/1000</f>
        <v>3099.6694645271245</v>
      </c>
      <c r="D10" s="41">
        <f>E10+U10</f>
        <v>3099669.4645271245</v>
      </c>
      <c r="E10" s="198">
        <v>263290.42</v>
      </c>
      <c r="F10" s="195">
        <f t="shared" ref="F10:F73" si="1">G10/1000</f>
        <v>2941.2669999999998</v>
      </c>
      <c r="G10" s="191">
        <f t="shared" ref="G10:G73" si="2">L10</f>
        <v>2941267</v>
      </c>
      <c r="H10" s="33"/>
      <c r="I10" s="198">
        <v>160000</v>
      </c>
      <c r="J10" s="231"/>
      <c r="K10" s="41">
        <f>L10/1000</f>
        <v>2941.2669999999998</v>
      </c>
      <c r="L10" s="198">
        <v>2941267</v>
      </c>
      <c r="M10" s="195">
        <f t="shared" ref="M10:M73" si="3">T10/1000*-1</f>
        <v>0</v>
      </c>
      <c r="N10" s="33"/>
      <c r="O10" s="41">
        <f>P10/1000*-1</f>
        <v>0</v>
      </c>
      <c r="P10" s="191">
        <f t="shared" ref="P10:P73" si="4">S10</f>
        <v>0</v>
      </c>
      <c r="Q10" s="231">
        <v>0</v>
      </c>
      <c r="R10" s="41">
        <f>S10/1000*-1</f>
        <v>0</v>
      </c>
      <c r="S10" s="198"/>
      <c r="T10" s="33"/>
      <c r="U10" s="210">
        <f t="shared" ref="U10:U73" si="5">$U$8/$B$8*B10</f>
        <v>2836379.0445271246</v>
      </c>
      <c r="V10" s="33">
        <f>C10+M10</f>
        <v>3099.6694645271245</v>
      </c>
      <c r="W10" s="33">
        <f>F10+O10</f>
        <v>2941.2669999999998</v>
      </c>
      <c r="X10" s="231">
        <f t="shared" si="0"/>
        <v>0</v>
      </c>
      <c r="Y10" s="41">
        <f t="shared" si="0"/>
        <v>2941.2669999999998</v>
      </c>
      <c r="Z10" s="47"/>
      <c r="AA10" s="47"/>
    </row>
    <row r="11" spans="1:27" ht="9.9499999999999993" customHeight="1" x14ac:dyDescent="0.15">
      <c r="A11" s="142" t="s">
        <v>137</v>
      </c>
      <c r="B11" s="212">
        <f>B12+B13+B14+B15+B16+B17+B18+B19+B20+B21+B22+B23+B24</f>
        <v>3.6999999999999997</v>
      </c>
      <c r="C11" s="140">
        <f>D11/1000</f>
        <v>2111.096438047688</v>
      </c>
      <c r="D11" s="41">
        <f>SUM(D12:D24)</f>
        <v>2111096.438047688</v>
      </c>
      <c r="E11" s="198">
        <f>SUM(E12:E24)</f>
        <v>112124.54000000001</v>
      </c>
      <c r="F11" s="195">
        <f t="shared" si="1"/>
        <v>2195.1309999999999</v>
      </c>
      <c r="G11" s="191">
        <f t="shared" si="2"/>
        <v>2195131</v>
      </c>
      <c r="H11" s="33">
        <f>SUM(H12:H24)</f>
        <v>0</v>
      </c>
      <c r="I11" s="198">
        <f>75000+160000</f>
        <v>235000</v>
      </c>
      <c r="J11" s="231"/>
      <c r="K11" s="41">
        <f>L11/1000</f>
        <v>2195.1309999999999</v>
      </c>
      <c r="L11" s="198">
        <f>SUM(L12:L25)</f>
        <v>2195131</v>
      </c>
      <c r="M11" s="195">
        <f t="shared" si="3"/>
        <v>0</v>
      </c>
      <c r="N11" s="33"/>
      <c r="O11" s="41">
        <f>P11/1000*-1</f>
        <v>0</v>
      </c>
      <c r="P11" s="191">
        <f t="shared" si="4"/>
        <v>0</v>
      </c>
      <c r="Q11" s="231">
        <f>SUM(Q12:Q24)</f>
        <v>0</v>
      </c>
      <c r="R11" s="41">
        <f>S11/1000*-1</f>
        <v>0</v>
      </c>
      <c r="S11" s="198"/>
      <c r="T11" s="33"/>
      <c r="U11" s="210">
        <f t="shared" si="5"/>
        <v>1998971.8980476877</v>
      </c>
      <c r="V11" s="33">
        <f>C11+M11</f>
        <v>2111.096438047688</v>
      </c>
      <c r="W11" s="33">
        <f>F11+O11</f>
        <v>2195.1309999999999</v>
      </c>
      <c r="X11" s="231">
        <f t="shared" si="0"/>
        <v>0</v>
      </c>
      <c r="Y11" s="41">
        <f t="shared" si="0"/>
        <v>2195.1309999999999</v>
      </c>
      <c r="Z11" s="47"/>
      <c r="AA11" s="47"/>
    </row>
    <row r="12" spans="1:27" ht="9.9499999999999993" customHeight="1" x14ac:dyDescent="0.15">
      <c r="A12" s="144" t="s">
        <v>138</v>
      </c>
      <c r="B12" s="215">
        <v>0.55000000000000004</v>
      </c>
      <c r="C12" s="145">
        <f>D12/1000</f>
        <v>405.44782133141314</v>
      </c>
      <c r="D12" s="41">
        <f t="shared" ref="D12:D24" si="6">E12+U12</f>
        <v>405447.82133141311</v>
      </c>
      <c r="E12" s="200">
        <v>108303.35</v>
      </c>
      <c r="F12" s="196"/>
      <c r="G12" s="191">
        <f t="shared" si="2"/>
        <v>2195131</v>
      </c>
      <c r="H12" s="36"/>
      <c r="I12" s="200">
        <f>75000+160000</f>
        <v>235000</v>
      </c>
      <c r="J12" s="230"/>
      <c r="K12" s="43"/>
      <c r="L12" s="198">
        <v>2195131</v>
      </c>
      <c r="M12" s="196">
        <f t="shared" si="3"/>
        <v>0</v>
      </c>
      <c r="N12" s="33"/>
      <c r="O12" s="41"/>
      <c r="P12" s="191">
        <f t="shared" si="4"/>
        <v>0</v>
      </c>
      <c r="Q12" s="231"/>
      <c r="R12" s="41"/>
      <c r="S12" s="198"/>
      <c r="T12" s="33"/>
      <c r="U12" s="210">
        <f t="shared" si="5"/>
        <v>297144.47133141308</v>
      </c>
      <c r="V12" s="33"/>
      <c r="W12" s="33"/>
      <c r="X12" s="231"/>
      <c r="Y12" s="41"/>
      <c r="Z12" s="47"/>
      <c r="AA12" s="47"/>
    </row>
    <row r="13" spans="1:27" ht="9.9499999999999993" customHeight="1" x14ac:dyDescent="0.15">
      <c r="A13" s="144" t="s">
        <v>139</v>
      </c>
      <c r="B13" s="215">
        <v>0.4</v>
      </c>
      <c r="C13" s="145">
        <f t="shared" ref="C13:C25" si="7">D13/1000</f>
        <v>216.10507005920951</v>
      </c>
      <c r="D13" s="41">
        <f t="shared" si="6"/>
        <v>216105.07005920951</v>
      </c>
      <c r="E13" s="200"/>
      <c r="F13" s="196">
        <f t="shared" si="1"/>
        <v>0</v>
      </c>
      <c r="G13" s="191">
        <f t="shared" si="2"/>
        <v>0</v>
      </c>
      <c r="H13" s="36"/>
      <c r="I13" s="200"/>
      <c r="J13" s="230"/>
      <c r="K13" s="43">
        <f t="shared" ref="K13:K25" si="8">L13/1000</f>
        <v>0</v>
      </c>
      <c r="L13" s="198"/>
      <c r="M13" s="196">
        <f t="shared" si="3"/>
        <v>0</v>
      </c>
      <c r="N13" s="33"/>
      <c r="O13" s="41"/>
      <c r="P13" s="191">
        <f t="shared" si="4"/>
        <v>0</v>
      </c>
      <c r="Q13" s="231"/>
      <c r="R13" s="41"/>
      <c r="S13" s="198"/>
      <c r="T13" s="33"/>
      <c r="U13" s="210">
        <f t="shared" si="5"/>
        <v>216105.07005920951</v>
      </c>
      <c r="V13" s="33"/>
      <c r="W13" s="33"/>
      <c r="X13" s="231"/>
      <c r="Y13" s="41"/>
      <c r="Z13" s="47"/>
      <c r="AA13" s="47"/>
    </row>
    <row r="14" spans="1:27" ht="9.9499999999999993" customHeight="1" x14ac:dyDescent="0.15">
      <c r="A14" s="144" t="s">
        <v>142</v>
      </c>
      <c r="B14" s="215">
        <v>0.9</v>
      </c>
      <c r="C14" s="145">
        <f t="shared" si="7"/>
        <v>486.3664076332214</v>
      </c>
      <c r="D14" s="41">
        <f t="shared" si="6"/>
        <v>486366.40763322142</v>
      </c>
      <c r="E14" s="198">
        <v>130</v>
      </c>
      <c r="F14" s="196">
        <f t="shared" si="1"/>
        <v>0</v>
      </c>
      <c r="G14" s="191">
        <f t="shared" si="2"/>
        <v>0</v>
      </c>
      <c r="H14" s="36"/>
      <c r="I14" s="200"/>
      <c r="J14" s="230"/>
      <c r="K14" s="43">
        <f t="shared" si="8"/>
        <v>0</v>
      </c>
      <c r="L14" s="198"/>
      <c r="M14" s="196">
        <f t="shared" si="3"/>
        <v>0</v>
      </c>
      <c r="N14" s="33"/>
      <c r="O14" s="41"/>
      <c r="P14" s="191">
        <f t="shared" si="4"/>
        <v>0</v>
      </c>
      <c r="Q14" s="231"/>
      <c r="R14" s="41"/>
      <c r="S14" s="198"/>
      <c r="T14" s="33"/>
      <c r="U14" s="210">
        <f t="shared" si="5"/>
        <v>486236.40763322142</v>
      </c>
      <c r="V14" s="33"/>
      <c r="W14" s="33"/>
      <c r="X14" s="231"/>
      <c r="Y14" s="41"/>
      <c r="Z14" s="47"/>
      <c r="AA14" s="47"/>
    </row>
    <row r="15" spans="1:27" ht="9.9499999999999993" customHeight="1" x14ac:dyDescent="0.15">
      <c r="A15" s="144" t="s">
        <v>143</v>
      </c>
      <c r="B15" s="215">
        <v>0.6</v>
      </c>
      <c r="C15" s="145">
        <f t="shared" si="7"/>
        <v>324.15760508881419</v>
      </c>
      <c r="D15" s="41">
        <f t="shared" si="6"/>
        <v>324157.60508881422</v>
      </c>
      <c r="E15" s="198"/>
      <c r="F15" s="196">
        <f t="shared" si="1"/>
        <v>0</v>
      </c>
      <c r="G15" s="191">
        <f t="shared" si="2"/>
        <v>0</v>
      </c>
      <c r="H15" s="36"/>
      <c r="I15" s="200"/>
      <c r="J15" s="230"/>
      <c r="K15" s="43">
        <f t="shared" si="8"/>
        <v>0</v>
      </c>
      <c r="L15" s="198"/>
      <c r="M15" s="196">
        <f t="shared" si="3"/>
        <v>0</v>
      </c>
      <c r="N15" s="33"/>
      <c r="O15" s="41"/>
      <c r="P15" s="191">
        <f t="shared" si="4"/>
        <v>0</v>
      </c>
      <c r="Q15" s="231"/>
      <c r="R15" s="41"/>
      <c r="S15" s="198"/>
      <c r="T15" s="33"/>
      <c r="U15" s="210">
        <f t="shared" si="5"/>
        <v>324157.60508881422</v>
      </c>
      <c r="V15" s="33"/>
      <c r="W15" s="33"/>
      <c r="X15" s="231"/>
      <c r="Y15" s="41"/>
      <c r="Z15" s="47"/>
      <c r="AA15" s="47"/>
    </row>
    <row r="16" spans="1:27" ht="9.9499999999999993" customHeight="1" x14ac:dyDescent="0.15">
      <c r="A16" s="144" t="s">
        <v>144</v>
      </c>
      <c r="B16" s="215">
        <v>0</v>
      </c>
      <c r="C16" s="145">
        <f t="shared" si="7"/>
        <v>0</v>
      </c>
      <c r="D16" s="41">
        <f t="shared" si="6"/>
        <v>0</v>
      </c>
      <c r="E16" s="198"/>
      <c r="F16" s="196">
        <f t="shared" si="1"/>
        <v>0</v>
      </c>
      <c r="G16" s="191">
        <f t="shared" si="2"/>
        <v>0</v>
      </c>
      <c r="H16" s="36"/>
      <c r="I16" s="200"/>
      <c r="J16" s="230"/>
      <c r="K16" s="43">
        <f t="shared" si="8"/>
        <v>0</v>
      </c>
      <c r="L16" s="198"/>
      <c r="M16" s="196">
        <f t="shared" si="3"/>
        <v>0</v>
      </c>
      <c r="N16" s="33"/>
      <c r="O16" s="41"/>
      <c r="P16" s="191">
        <f t="shared" si="4"/>
        <v>0</v>
      </c>
      <c r="Q16" s="231"/>
      <c r="R16" s="41"/>
      <c r="S16" s="198"/>
      <c r="T16" s="33"/>
      <c r="U16" s="210">
        <f t="shared" si="5"/>
        <v>0</v>
      </c>
      <c r="V16" s="33"/>
      <c r="W16" s="33"/>
      <c r="X16" s="231"/>
      <c r="Y16" s="41"/>
      <c r="Z16" s="47"/>
      <c r="AA16" s="47"/>
    </row>
    <row r="17" spans="1:27" ht="9.9499999999999993" customHeight="1" x14ac:dyDescent="0.15">
      <c r="A17" s="144" t="s">
        <v>145</v>
      </c>
      <c r="B17" s="215">
        <v>0.05</v>
      </c>
      <c r="C17" s="145">
        <f t="shared" si="7"/>
        <v>27.013133757401189</v>
      </c>
      <c r="D17" s="41">
        <f t="shared" si="6"/>
        <v>27013.133757401189</v>
      </c>
      <c r="E17" s="198"/>
      <c r="F17" s="196">
        <f t="shared" si="1"/>
        <v>0</v>
      </c>
      <c r="G17" s="191">
        <f t="shared" si="2"/>
        <v>0</v>
      </c>
      <c r="H17" s="36"/>
      <c r="I17" s="200"/>
      <c r="J17" s="230"/>
      <c r="K17" s="43">
        <f t="shared" si="8"/>
        <v>0</v>
      </c>
      <c r="L17" s="198"/>
      <c r="M17" s="196">
        <f t="shared" si="3"/>
        <v>0</v>
      </c>
      <c r="N17" s="33"/>
      <c r="O17" s="41"/>
      <c r="P17" s="191">
        <f t="shared" si="4"/>
        <v>0</v>
      </c>
      <c r="Q17" s="231"/>
      <c r="R17" s="41"/>
      <c r="S17" s="198"/>
      <c r="T17" s="33"/>
      <c r="U17" s="210">
        <f t="shared" si="5"/>
        <v>27013.133757401189</v>
      </c>
      <c r="V17" s="33"/>
      <c r="W17" s="33"/>
      <c r="X17" s="231"/>
      <c r="Y17" s="41"/>
      <c r="Z17" s="47"/>
      <c r="AA17" s="47"/>
    </row>
    <row r="18" spans="1:27" ht="9.9499999999999993" customHeight="1" x14ac:dyDescent="0.15">
      <c r="A18" s="144" t="s">
        <v>146</v>
      </c>
      <c r="B18" s="215">
        <v>0.1</v>
      </c>
      <c r="C18" s="145">
        <f t="shared" si="7"/>
        <v>54.026267514802377</v>
      </c>
      <c r="D18" s="41">
        <f t="shared" si="6"/>
        <v>54026.267514802377</v>
      </c>
      <c r="E18" s="198"/>
      <c r="F18" s="196">
        <f t="shared" si="1"/>
        <v>0</v>
      </c>
      <c r="G18" s="191">
        <f t="shared" si="2"/>
        <v>0</v>
      </c>
      <c r="H18" s="36"/>
      <c r="I18" s="200"/>
      <c r="J18" s="230"/>
      <c r="K18" s="43">
        <f t="shared" si="8"/>
        <v>0</v>
      </c>
      <c r="L18" s="198"/>
      <c r="M18" s="196">
        <f t="shared" si="3"/>
        <v>0</v>
      </c>
      <c r="N18" s="33"/>
      <c r="O18" s="41"/>
      <c r="P18" s="191">
        <f t="shared" si="4"/>
        <v>0</v>
      </c>
      <c r="Q18" s="231"/>
      <c r="R18" s="41"/>
      <c r="S18" s="198"/>
      <c r="T18" s="33"/>
      <c r="U18" s="210">
        <f t="shared" si="5"/>
        <v>54026.267514802377</v>
      </c>
      <c r="V18" s="33"/>
      <c r="W18" s="33"/>
      <c r="X18" s="231"/>
      <c r="Y18" s="41"/>
      <c r="Z18" s="47"/>
      <c r="AA18" s="47"/>
    </row>
    <row r="19" spans="1:27" ht="9.9499999999999993" customHeight="1" x14ac:dyDescent="0.15">
      <c r="A19" s="144" t="s">
        <v>147</v>
      </c>
      <c r="B19" s="215">
        <v>0.05</v>
      </c>
      <c r="C19" s="145">
        <f t="shared" si="7"/>
        <v>27.013133757401189</v>
      </c>
      <c r="D19" s="41">
        <f t="shared" si="6"/>
        <v>27013.133757401189</v>
      </c>
      <c r="E19" s="198"/>
      <c r="F19" s="196">
        <f t="shared" si="1"/>
        <v>0</v>
      </c>
      <c r="G19" s="191">
        <f t="shared" si="2"/>
        <v>0</v>
      </c>
      <c r="H19" s="36"/>
      <c r="I19" s="200"/>
      <c r="J19" s="230"/>
      <c r="K19" s="43">
        <f t="shared" si="8"/>
        <v>0</v>
      </c>
      <c r="L19" s="198"/>
      <c r="M19" s="196">
        <f t="shared" si="3"/>
        <v>0</v>
      </c>
      <c r="N19" s="33"/>
      <c r="O19" s="41"/>
      <c r="P19" s="191">
        <f t="shared" si="4"/>
        <v>0</v>
      </c>
      <c r="Q19" s="231"/>
      <c r="R19" s="41"/>
      <c r="S19" s="198"/>
      <c r="T19" s="33"/>
      <c r="U19" s="210">
        <f t="shared" si="5"/>
        <v>27013.133757401189</v>
      </c>
      <c r="V19" s="33"/>
      <c r="W19" s="33"/>
      <c r="X19" s="231"/>
      <c r="Y19" s="41"/>
      <c r="Z19" s="47"/>
      <c r="AA19" s="47"/>
    </row>
    <row r="20" spans="1:27" ht="9.9499999999999993" customHeight="1" x14ac:dyDescent="0.15">
      <c r="A20" s="144" t="s">
        <v>148</v>
      </c>
      <c r="B20" s="215">
        <v>0.2</v>
      </c>
      <c r="C20" s="145">
        <f t="shared" si="7"/>
        <v>110.11622502960476</v>
      </c>
      <c r="D20" s="41">
        <f t="shared" si="6"/>
        <v>110116.22502960476</v>
      </c>
      <c r="E20" s="198">
        <v>2063.69</v>
      </c>
      <c r="F20" s="196">
        <f t="shared" si="1"/>
        <v>0</v>
      </c>
      <c r="G20" s="191">
        <f t="shared" si="2"/>
        <v>0</v>
      </c>
      <c r="H20" s="36"/>
      <c r="I20" s="200"/>
      <c r="J20" s="230"/>
      <c r="K20" s="43">
        <f t="shared" si="8"/>
        <v>0</v>
      </c>
      <c r="L20" s="198"/>
      <c r="M20" s="196">
        <f t="shared" si="3"/>
        <v>0</v>
      </c>
      <c r="N20" s="33"/>
      <c r="O20" s="41"/>
      <c r="P20" s="191">
        <f t="shared" si="4"/>
        <v>0</v>
      </c>
      <c r="Q20" s="231"/>
      <c r="R20" s="41"/>
      <c r="S20" s="198"/>
      <c r="T20" s="33"/>
      <c r="U20" s="210">
        <f t="shared" si="5"/>
        <v>108052.53502960475</v>
      </c>
      <c r="V20" s="33"/>
      <c r="W20" s="33"/>
      <c r="X20" s="231"/>
      <c r="Y20" s="41"/>
      <c r="Z20" s="47"/>
      <c r="AA20" s="47"/>
    </row>
    <row r="21" spans="1:27" ht="9.9499999999999993" customHeight="1" x14ac:dyDescent="0.15">
      <c r="A21" s="144" t="s">
        <v>149</v>
      </c>
      <c r="B21" s="215">
        <v>0.65</v>
      </c>
      <c r="C21" s="145">
        <f t="shared" si="7"/>
        <v>351.40823884621545</v>
      </c>
      <c r="D21" s="41">
        <f t="shared" si="6"/>
        <v>351408.23884621548</v>
      </c>
      <c r="E21" s="198">
        <v>237.5</v>
      </c>
      <c r="F21" s="196">
        <f t="shared" si="1"/>
        <v>0</v>
      </c>
      <c r="G21" s="191">
        <f t="shared" si="2"/>
        <v>0</v>
      </c>
      <c r="H21" s="36"/>
      <c r="I21" s="200"/>
      <c r="J21" s="230"/>
      <c r="K21" s="43">
        <f t="shared" si="8"/>
        <v>0</v>
      </c>
      <c r="L21" s="198"/>
      <c r="M21" s="196">
        <f t="shared" si="3"/>
        <v>0</v>
      </c>
      <c r="N21" s="33"/>
      <c r="O21" s="41"/>
      <c r="P21" s="191">
        <f t="shared" si="4"/>
        <v>0</v>
      </c>
      <c r="Q21" s="231"/>
      <c r="R21" s="41"/>
      <c r="S21" s="198"/>
      <c r="T21" s="33"/>
      <c r="U21" s="210">
        <f t="shared" si="5"/>
        <v>351170.73884621548</v>
      </c>
      <c r="V21" s="33"/>
      <c r="W21" s="33"/>
      <c r="X21" s="231"/>
      <c r="Y21" s="41"/>
      <c r="Z21" s="47"/>
      <c r="AA21" s="47"/>
    </row>
    <row r="22" spans="1:27" ht="9.9499999999999993" customHeight="1" x14ac:dyDescent="0.15">
      <c r="A22" s="144" t="s">
        <v>150</v>
      </c>
      <c r="B22" s="215">
        <v>0.05</v>
      </c>
      <c r="C22" s="145">
        <f t="shared" si="7"/>
        <v>28.403133757401189</v>
      </c>
      <c r="D22" s="41">
        <f t="shared" si="6"/>
        <v>28403.133757401189</v>
      </c>
      <c r="E22" s="198">
        <v>1390</v>
      </c>
      <c r="F22" s="196">
        <f t="shared" si="1"/>
        <v>0</v>
      </c>
      <c r="G22" s="191">
        <f t="shared" si="2"/>
        <v>0</v>
      </c>
      <c r="H22" s="36"/>
      <c r="I22" s="200"/>
      <c r="J22" s="230"/>
      <c r="K22" s="43">
        <f t="shared" si="8"/>
        <v>0</v>
      </c>
      <c r="L22" s="198"/>
      <c r="M22" s="196">
        <f t="shared" si="3"/>
        <v>0</v>
      </c>
      <c r="N22" s="33"/>
      <c r="O22" s="41"/>
      <c r="P22" s="191">
        <f t="shared" si="4"/>
        <v>0</v>
      </c>
      <c r="Q22" s="231"/>
      <c r="R22" s="41"/>
      <c r="S22" s="198"/>
      <c r="T22" s="33"/>
      <c r="U22" s="210">
        <f t="shared" si="5"/>
        <v>27013.133757401189</v>
      </c>
      <c r="V22" s="33"/>
      <c r="W22" s="33"/>
      <c r="X22" s="231"/>
      <c r="Y22" s="41"/>
      <c r="Z22" s="47"/>
      <c r="AA22" s="47"/>
    </row>
    <row r="23" spans="1:27" ht="9.9499999999999993" customHeight="1" x14ac:dyDescent="0.15">
      <c r="A23" s="144" t="s">
        <v>151</v>
      </c>
      <c r="B23" s="215">
        <v>0</v>
      </c>
      <c r="C23" s="145">
        <f t="shared" si="7"/>
        <v>0</v>
      </c>
      <c r="D23" s="41">
        <f t="shared" si="6"/>
        <v>0</v>
      </c>
      <c r="E23" s="198"/>
      <c r="F23" s="196">
        <f t="shared" si="1"/>
        <v>0</v>
      </c>
      <c r="G23" s="191">
        <f t="shared" si="2"/>
        <v>0</v>
      </c>
      <c r="H23" s="36"/>
      <c r="I23" s="200"/>
      <c r="J23" s="230"/>
      <c r="K23" s="43">
        <f t="shared" si="8"/>
        <v>0</v>
      </c>
      <c r="L23" s="198"/>
      <c r="M23" s="196">
        <f t="shared" si="3"/>
        <v>0</v>
      </c>
      <c r="N23" s="33"/>
      <c r="O23" s="41"/>
      <c r="P23" s="191">
        <f t="shared" si="4"/>
        <v>0</v>
      </c>
      <c r="Q23" s="231"/>
      <c r="R23" s="41"/>
      <c r="S23" s="198"/>
      <c r="T23" s="33"/>
      <c r="U23" s="210">
        <f t="shared" si="5"/>
        <v>0</v>
      </c>
      <c r="V23" s="33"/>
      <c r="W23" s="33"/>
      <c r="X23" s="231"/>
      <c r="Y23" s="41"/>
      <c r="Z23" s="47"/>
      <c r="AA23" s="47"/>
    </row>
    <row r="24" spans="1:27" ht="9.9499999999999993" customHeight="1" x14ac:dyDescent="0.15">
      <c r="A24" s="144" t="s">
        <v>152</v>
      </c>
      <c r="B24" s="215">
        <v>0.15</v>
      </c>
      <c r="C24" s="145">
        <f t="shared" si="7"/>
        <v>81.039401272203548</v>
      </c>
      <c r="D24" s="41">
        <f t="shared" si="6"/>
        <v>81039.401272203555</v>
      </c>
      <c r="E24" s="198"/>
      <c r="F24" s="196">
        <f t="shared" si="1"/>
        <v>0</v>
      </c>
      <c r="G24" s="191">
        <f t="shared" si="2"/>
        <v>0</v>
      </c>
      <c r="H24" s="36"/>
      <c r="I24" s="200"/>
      <c r="J24" s="230"/>
      <c r="K24" s="43">
        <f t="shared" si="8"/>
        <v>0</v>
      </c>
      <c r="L24" s="198"/>
      <c r="M24" s="196">
        <f t="shared" si="3"/>
        <v>0</v>
      </c>
      <c r="N24" s="33"/>
      <c r="O24" s="41"/>
      <c r="P24" s="191">
        <f t="shared" si="4"/>
        <v>0</v>
      </c>
      <c r="Q24" s="231"/>
      <c r="R24" s="41"/>
      <c r="S24" s="198"/>
      <c r="T24" s="33"/>
      <c r="U24" s="210">
        <f t="shared" si="5"/>
        <v>81039.401272203555</v>
      </c>
      <c r="V24" s="33"/>
      <c r="W24" s="33"/>
      <c r="X24" s="231"/>
      <c r="Y24" s="41"/>
      <c r="Z24" s="47"/>
      <c r="AA24" s="47"/>
    </row>
    <row r="25" spans="1:27" ht="9.9499999999999993" hidden="1" customHeight="1" x14ac:dyDescent="0.15">
      <c r="A25" s="144"/>
      <c r="B25" s="212"/>
      <c r="C25" s="145">
        <f t="shared" si="7"/>
        <v>0</v>
      </c>
      <c r="D25" s="41"/>
      <c r="E25" s="198"/>
      <c r="F25" s="195">
        <f t="shared" si="1"/>
        <v>0</v>
      </c>
      <c r="G25" s="191">
        <f t="shared" si="2"/>
        <v>0</v>
      </c>
      <c r="H25" s="33"/>
      <c r="I25" s="198"/>
      <c r="J25" s="231"/>
      <c r="K25" s="41">
        <f t="shared" si="8"/>
        <v>0</v>
      </c>
      <c r="L25" s="198"/>
      <c r="M25" s="195">
        <f t="shared" si="3"/>
        <v>0</v>
      </c>
      <c r="N25" s="33"/>
      <c r="O25" s="41"/>
      <c r="P25" s="191">
        <f t="shared" si="4"/>
        <v>0</v>
      </c>
      <c r="Q25" s="231"/>
      <c r="R25" s="41"/>
      <c r="S25" s="198"/>
      <c r="T25" s="33"/>
      <c r="U25" s="210">
        <f t="shared" si="5"/>
        <v>0</v>
      </c>
      <c r="V25" s="33"/>
      <c r="W25" s="33"/>
      <c r="X25" s="231"/>
      <c r="Y25" s="41"/>
      <c r="Z25" s="47"/>
      <c r="AA25" s="47"/>
    </row>
    <row r="26" spans="1:27" ht="9.9499999999999993" customHeight="1" x14ac:dyDescent="0.15">
      <c r="A26" s="142" t="s">
        <v>153</v>
      </c>
      <c r="B26" s="212">
        <f>B29+B30+B31+B32+B33+B27+B28+B34</f>
        <v>3.4499999999999997</v>
      </c>
      <c r="C26" s="140">
        <f>D26/1000</f>
        <v>2266.0307292606822</v>
      </c>
      <c r="D26" s="41">
        <f>SUM(D27:D34)</f>
        <v>2266030.7292606821</v>
      </c>
      <c r="E26" s="198">
        <f>SUM(E27:E34)</f>
        <v>402124.5</v>
      </c>
      <c r="F26" s="195">
        <f t="shared" si="1"/>
        <v>2227.1909999999998</v>
      </c>
      <c r="G26" s="191">
        <f t="shared" si="2"/>
        <v>2227191</v>
      </c>
      <c r="H26" s="33">
        <f>SUM(H27:H34)</f>
        <v>0</v>
      </c>
      <c r="I26" s="198">
        <f>I29+I30+I31+I32+I33+I34</f>
        <v>399500</v>
      </c>
      <c r="J26" s="231">
        <f>SUM(J27:J34)</f>
        <v>0</v>
      </c>
      <c r="K26" s="41">
        <f>L26/1000</f>
        <v>2227.1909999999998</v>
      </c>
      <c r="L26" s="198">
        <f>L29+L30+L31+L32+L33+L34+L27+L28</f>
        <v>2227191</v>
      </c>
      <c r="M26" s="195">
        <f t="shared" si="3"/>
        <v>0</v>
      </c>
      <c r="N26" s="33">
        <f>N29+N30+N31+N32+N33</f>
        <v>0</v>
      </c>
      <c r="O26" s="41">
        <f>P26/1000*-1</f>
        <v>-247.5</v>
      </c>
      <c r="P26" s="191">
        <f t="shared" si="4"/>
        <v>247500</v>
      </c>
      <c r="Q26" s="231">
        <f>SUM(Q27:Q34)</f>
        <v>0</v>
      </c>
      <c r="R26" s="41">
        <f>S26/1000*-1</f>
        <v>-247.5</v>
      </c>
      <c r="S26" s="198">
        <f>SUM(S27:S35)</f>
        <v>247500</v>
      </c>
      <c r="T26" s="33"/>
      <c r="U26" s="210">
        <f t="shared" si="5"/>
        <v>1863906.2292606819</v>
      </c>
      <c r="V26" s="33">
        <f>C26+M26</f>
        <v>2266.0307292606822</v>
      </c>
      <c r="W26" s="33">
        <f>F26+O26</f>
        <v>1979.6909999999998</v>
      </c>
      <c r="X26" s="231">
        <f>J26+Q26</f>
        <v>0</v>
      </c>
      <c r="Y26" s="41">
        <f>K26+R26</f>
        <v>1979.6909999999998</v>
      </c>
      <c r="Z26" s="47"/>
      <c r="AA26" s="47"/>
    </row>
    <row r="27" spans="1:27" ht="9.9499999999999993" customHeight="1" x14ac:dyDescent="0.15">
      <c r="A27" s="144" t="s">
        <v>154</v>
      </c>
      <c r="B27" s="215">
        <v>0.4</v>
      </c>
      <c r="C27" s="145">
        <f t="shared" ref="C27:C34" si="9">D27/1000</f>
        <v>216.10507005920951</v>
      </c>
      <c r="D27" s="41">
        <f t="shared" ref="D27:D90" si="10">E27+U27</f>
        <v>216105.07005920951</v>
      </c>
      <c r="E27" s="198"/>
      <c r="F27" s="196">
        <f t="shared" si="1"/>
        <v>211.90600000000001</v>
      </c>
      <c r="G27" s="191">
        <f t="shared" si="2"/>
        <v>211906</v>
      </c>
      <c r="H27" s="33"/>
      <c r="I27" s="198"/>
      <c r="J27" s="230"/>
      <c r="K27" s="43">
        <f t="shared" ref="K27:K90" si="11">L27/1000</f>
        <v>211.90600000000001</v>
      </c>
      <c r="L27" s="200">
        <v>211906</v>
      </c>
      <c r="M27" s="196">
        <f t="shared" si="3"/>
        <v>0</v>
      </c>
      <c r="N27" s="33"/>
      <c r="O27" s="43">
        <v>0</v>
      </c>
      <c r="P27" s="191">
        <f t="shared" si="4"/>
        <v>0</v>
      </c>
      <c r="Q27" s="230">
        <v>0</v>
      </c>
      <c r="R27" s="43">
        <v>0</v>
      </c>
      <c r="S27" s="198"/>
      <c r="T27" s="33"/>
      <c r="U27" s="210">
        <f t="shared" si="5"/>
        <v>216105.07005920951</v>
      </c>
      <c r="V27" s="36">
        <f>C27+M27</f>
        <v>216.10507005920951</v>
      </c>
      <c r="W27" s="36">
        <f>F27+O27</f>
        <v>211.90600000000001</v>
      </c>
      <c r="X27" s="230">
        <f>J27+Q27</f>
        <v>0</v>
      </c>
      <c r="Y27" s="43">
        <f>K27+R27</f>
        <v>211.90600000000001</v>
      </c>
      <c r="Z27" s="47"/>
      <c r="AA27" s="47"/>
    </row>
    <row r="28" spans="1:27" ht="9.9499999999999993" customHeight="1" x14ac:dyDescent="0.15">
      <c r="A28" s="144" t="s">
        <v>155</v>
      </c>
      <c r="B28" s="215">
        <v>0.4</v>
      </c>
      <c r="C28" s="145">
        <f t="shared" si="9"/>
        <v>216.10507005920951</v>
      </c>
      <c r="D28" s="41">
        <f t="shared" si="10"/>
        <v>216105.07005920951</v>
      </c>
      <c r="E28" s="198"/>
      <c r="F28" s="196">
        <f t="shared" si="1"/>
        <v>211.90600000000001</v>
      </c>
      <c r="G28" s="191">
        <f t="shared" si="2"/>
        <v>211906</v>
      </c>
      <c r="H28" s="33"/>
      <c r="I28" s="198"/>
      <c r="J28" s="230"/>
      <c r="K28" s="43">
        <f t="shared" si="11"/>
        <v>211.90600000000001</v>
      </c>
      <c r="L28" s="200">
        <v>211906</v>
      </c>
      <c r="M28" s="196">
        <f t="shared" si="3"/>
        <v>0</v>
      </c>
      <c r="N28" s="33"/>
      <c r="O28" s="43">
        <v>0</v>
      </c>
      <c r="P28" s="191">
        <f t="shared" si="4"/>
        <v>0</v>
      </c>
      <c r="Q28" s="230">
        <v>0</v>
      </c>
      <c r="R28" s="43">
        <v>0</v>
      </c>
      <c r="S28" s="198"/>
      <c r="T28" s="33"/>
      <c r="U28" s="210">
        <f t="shared" si="5"/>
        <v>216105.07005920951</v>
      </c>
      <c r="V28" s="36">
        <f t="shared" ref="V28:V34" si="12">C28+M28</f>
        <v>216.10507005920951</v>
      </c>
      <c r="W28" s="36">
        <f t="shared" ref="W28:W34" si="13">F28+O28</f>
        <v>211.90600000000001</v>
      </c>
      <c r="X28" s="230">
        <f t="shared" ref="X28:Y34" si="14">J28+Q28</f>
        <v>0</v>
      </c>
      <c r="Y28" s="43">
        <f t="shared" si="14"/>
        <v>211.90600000000001</v>
      </c>
      <c r="Z28" s="47"/>
      <c r="AA28" s="47"/>
    </row>
    <row r="29" spans="1:27" ht="9.9499999999999993" customHeight="1" x14ac:dyDescent="0.15">
      <c r="A29" s="144" t="s">
        <v>156</v>
      </c>
      <c r="B29" s="215">
        <v>0.8</v>
      </c>
      <c r="C29" s="145">
        <f t="shared" si="9"/>
        <v>432.21014011841902</v>
      </c>
      <c r="D29" s="41">
        <f t="shared" si="10"/>
        <v>432210.14011841902</v>
      </c>
      <c r="E29" s="200"/>
      <c r="F29" s="196">
        <f t="shared" si="1"/>
        <v>425.81200000000001</v>
      </c>
      <c r="G29" s="191">
        <f t="shared" si="2"/>
        <v>425812</v>
      </c>
      <c r="H29" s="33"/>
      <c r="I29" s="200">
        <v>2000</v>
      </c>
      <c r="J29" s="230"/>
      <c r="K29" s="43">
        <f t="shared" si="11"/>
        <v>425.81200000000001</v>
      </c>
      <c r="L29" s="200">
        <v>425812</v>
      </c>
      <c r="M29" s="196">
        <f t="shared" si="3"/>
        <v>0</v>
      </c>
      <c r="N29" s="36"/>
      <c r="O29" s="43">
        <v>0</v>
      </c>
      <c r="P29" s="191">
        <f t="shared" si="4"/>
        <v>0</v>
      </c>
      <c r="Q29" s="230">
        <v>0</v>
      </c>
      <c r="R29" s="43">
        <v>0</v>
      </c>
      <c r="S29" s="200"/>
      <c r="T29" s="36"/>
      <c r="U29" s="210">
        <f t="shared" si="5"/>
        <v>432210.14011841902</v>
      </c>
      <c r="V29" s="36">
        <f t="shared" si="12"/>
        <v>432.21014011841902</v>
      </c>
      <c r="W29" s="36">
        <f t="shared" si="13"/>
        <v>425.81200000000001</v>
      </c>
      <c r="X29" s="230">
        <f t="shared" si="14"/>
        <v>0</v>
      </c>
      <c r="Y29" s="43">
        <f t="shared" si="14"/>
        <v>425.81200000000001</v>
      </c>
      <c r="Z29" s="47"/>
      <c r="AA29" s="47"/>
    </row>
    <row r="30" spans="1:27" ht="9.9499999999999993" customHeight="1" x14ac:dyDescent="0.15">
      <c r="A30" s="144" t="s">
        <v>157</v>
      </c>
      <c r="B30" s="215">
        <v>0.6</v>
      </c>
      <c r="C30" s="145">
        <f t="shared" si="9"/>
        <v>567.25914508881419</v>
      </c>
      <c r="D30" s="41">
        <f t="shared" si="10"/>
        <v>567259.1450888142</v>
      </c>
      <c r="E30" s="200">
        <v>243101.54</v>
      </c>
      <c r="F30" s="196">
        <f t="shared" si="1"/>
        <v>317.85899999999998</v>
      </c>
      <c r="G30" s="191">
        <f t="shared" si="2"/>
        <v>317859</v>
      </c>
      <c r="H30" s="33"/>
      <c r="I30" s="200"/>
      <c r="J30" s="230"/>
      <c r="K30" s="43">
        <f t="shared" si="11"/>
        <v>317.85899999999998</v>
      </c>
      <c r="L30" s="200">
        <v>317859</v>
      </c>
      <c r="M30" s="196">
        <f t="shared" si="3"/>
        <v>0</v>
      </c>
      <c r="N30" s="36"/>
      <c r="O30" s="43">
        <v>0</v>
      </c>
      <c r="P30" s="191">
        <f t="shared" si="4"/>
        <v>0</v>
      </c>
      <c r="Q30" s="230">
        <v>0</v>
      </c>
      <c r="R30" s="43">
        <v>0</v>
      </c>
      <c r="S30" s="200"/>
      <c r="T30" s="36"/>
      <c r="U30" s="210">
        <f t="shared" si="5"/>
        <v>324157.60508881422</v>
      </c>
      <c r="V30" s="36">
        <f t="shared" si="12"/>
        <v>567.25914508881419</v>
      </c>
      <c r="W30" s="36">
        <f t="shared" si="13"/>
        <v>317.85899999999998</v>
      </c>
      <c r="X30" s="230">
        <f t="shared" si="14"/>
        <v>0</v>
      </c>
      <c r="Y30" s="43">
        <f t="shared" si="14"/>
        <v>317.85899999999998</v>
      </c>
      <c r="Z30" s="47"/>
      <c r="AA30" s="47"/>
    </row>
    <row r="31" spans="1:27" ht="9.9499999999999993" customHeight="1" x14ac:dyDescent="0.15">
      <c r="A31" s="144" t="s">
        <v>158</v>
      </c>
      <c r="B31" s="215">
        <v>0.5</v>
      </c>
      <c r="C31" s="145">
        <f t="shared" si="9"/>
        <v>288.53577757401189</v>
      </c>
      <c r="D31" s="41">
        <f t="shared" si="10"/>
        <v>288535.77757401188</v>
      </c>
      <c r="E31" s="200">
        <v>18404.439999999999</v>
      </c>
      <c r="F31" s="196">
        <f t="shared" si="1"/>
        <v>319.88299999999998</v>
      </c>
      <c r="G31" s="191">
        <f t="shared" si="2"/>
        <v>319883</v>
      </c>
      <c r="H31" s="33"/>
      <c r="I31" s="200">
        <v>55000</v>
      </c>
      <c r="J31" s="230"/>
      <c r="K31" s="43">
        <f t="shared" si="11"/>
        <v>319.88299999999998</v>
      </c>
      <c r="L31" s="200">
        <v>319883</v>
      </c>
      <c r="M31" s="196">
        <f t="shared" si="3"/>
        <v>0</v>
      </c>
      <c r="N31" s="36"/>
      <c r="O31" s="43">
        <f>P31/1000*-1</f>
        <v>0</v>
      </c>
      <c r="P31" s="191">
        <f t="shared" si="4"/>
        <v>0</v>
      </c>
      <c r="Q31" s="230">
        <v>0</v>
      </c>
      <c r="R31" s="43">
        <f>S31/1000*-1</f>
        <v>0</v>
      </c>
      <c r="S31" s="200"/>
      <c r="T31" s="36"/>
      <c r="U31" s="210">
        <f t="shared" si="5"/>
        <v>270131.33757401188</v>
      </c>
      <c r="V31" s="36">
        <f t="shared" si="12"/>
        <v>288.53577757401189</v>
      </c>
      <c r="W31" s="36">
        <f t="shared" si="13"/>
        <v>319.88299999999998</v>
      </c>
      <c r="X31" s="230">
        <f t="shared" si="14"/>
        <v>0</v>
      </c>
      <c r="Y31" s="43">
        <f t="shared" si="14"/>
        <v>319.88299999999998</v>
      </c>
      <c r="Z31" s="47"/>
      <c r="AA31" s="47"/>
    </row>
    <row r="32" spans="1:27" ht="9.9499999999999993" customHeight="1" x14ac:dyDescent="0.15">
      <c r="A32" s="144" t="s">
        <v>159</v>
      </c>
      <c r="B32" s="215">
        <v>0.4</v>
      </c>
      <c r="C32" s="145">
        <f t="shared" si="9"/>
        <v>216.3015700592095</v>
      </c>
      <c r="D32" s="41">
        <f t="shared" si="10"/>
        <v>216301.57005920951</v>
      </c>
      <c r="E32" s="200">
        <v>196.5</v>
      </c>
      <c r="F32" s="196">
        <f t="shared" si="1"/>
        <v>346.37099999999998</v>
      </c>
      <c r="G32" s="191">
        <f t="shared" si="2"/>
        <v>346371</v>
      </c>
      <c r="H32" s="33"/>
      <c r="I32" s="200">
        <v>55000</v>
      </c>
      <c r="J32" s="230"/>
      <c r="K32" s="43">
        <f t="shared" si="11"/>
        <v>346.37099999999998</v>
      </c>
      <c r="L32" s="200">
        <v>346371</v>
      </c>
      <c r="M32" s="196">
        <f t="shared" si="3"/>
        <v>0</v>
      </c>
      <c r="N32" s="36"/>
      <c r="O32" s="43">
        <f>P32/1000*-1</f>
        <v>0</v>
      </c>
      <c r="P32" s="191">
        <f t="shared" si="4"/>
        <v>0</v>
      </c>
      <c r="Q32" s="230">
        <v>0</v>
      </c>
      <c r="R32" s="43">
        <f>S32/1000*-1</f>
        <v>0</v>
      </c>
      <c r="S32" s="200"/>
      <c r="T32" s="36"/>
      <c r="U32" s="210">
        <f t="shared" si="5"/>
        <v>216105.07005920951</v>
      </c>
      <c r="V32" s="36">
        <f t="shared" si="12"/>
        <v>216.3015700592095</v>
      </c>
      <c r="W32" s="36">
        <f t="shared" si="13"/>
        <v>346.37099999999998</v>
      </c>
      <c r="X32" s="230">
        <f t="shared" si="14"/>
        <v>0</v>
      </c>
      <c r="Y32" s="43">
        <f t="shared" si="14"/>
        <v>346.37099999999998</v>
      </c>
      <c r="Z32" s="47"/>
      <c r="AA32" s="47"/>
    </row>
    <row r="33" spans="1:38" ht="9.9499999999999993" customHeight="1" x14ac:dyDescent="0.15">
      <c r="A33" s="144" t="s">
        <v>160</v>
      </c>
      <c r="B33" s="215">
        <v>0.25</v>
      </c>
      <c r="C33" s="145">
        <f t="shared" si="9"/>
        <v>275.48768878700594</v>
      </c>
      <c r="D33" s="41">
        <f t="shared" si="10"/>
        <v>275487.68878700596</v>
      </c>
      <c r="E33" s="200">
        <v>140422.01999999999</v>
      </c>
      <c r="F33" s="196">
        <f t="shared" si="1"/>
        <v>57.976999999999997</v>
      </c>
      <c r="G33" s="191">
        <f t="shared" si="2"/>
        <v>57977</v>
      </c>
      <c r="H33" s="33"/>
      <c r="I33" s="200">
        <v>5000</v>
      </c>
      <c r="J33" s="230"/>
      <c r="K33" s="43">
        <f t="shared" si="11"/>
        <v>57.976999999999997</v>
      </c>
      <c r="L33" s="200">
        <v>57977</v>
      </c>
      <c r="M33" s="196">
        <f t="shared" si="3"/>
        <v>0</v>
      </c>
      <c r="N33" s="36"/>
      <c r="O33" s="43">
        <f>P33/1000*-1</f>
        <v>0</v>
      </c>
      <c r="P33" s="191">
        <f t="shared" si="4"/>
        <v>0</v>
      </c>
      <c r="Q33" s="230">
        <v>0</v>
      </c>
      <c r="R33" s="43">
        <f>S33/1000*-1</f>
        <v>0</v>
      </c>
      <c r="S33" s="200"/>
      <c r="T33" s="36"/>
      <c r="U33" s="210">
        <f t="shared" si="5"/>
        <v>135065.66878700594</v>
      </c>
      <c r="V33" s="36">
        <f t="shared" si="12"/>
        <v>275.48768878700594</v>
      </c>
      <c r="W33" s="36">
        <f t="shared" si="13"/>
        <v>57.976999999999997</v>
      </c>
      <c r="X33" s="230">
        <f t="shared" si="14"/>
        <v>0</v>
      </c>
      <c r="Y33" s="43">
        <f t="shared" si="14"/>
        <v>57.976999999999997</v>
      </c>
      <c r="Z33" s="47"/>
      <c r="AA33" s="47"/>
    </row>
    <row r="34" spans="1:38" s="42" customFormat="1" ht="9.9499999999999993" customHeight="1" x14ac:dyDescent="0.15">
      <c r="A34" s="144" t="s">
        <v>161</v>
      </c>
      <c r="B34" s="215">
        <v>0.1</v>
      </c>
      <c r="C34" s="145">
        <f t="shared" si="9"/>
        <v>54.026267514802377</v>
      </c>
      <c r="D34" s="41">
        <f t="shared" si="10"/>
        <v>54026.267514802377</v>
      </c>
      <c r="E34" s="198"/>
      <c r="F34" s="196">
        <f t="shared" si="1"/>
        <v>335.47699999999998</v>
      </c>
      <c r="G34" s="191">
        <f t="shared" si="2"/>
        <v>335477</v>
      </c>
      <c r="H34" s="33"/>
      <c r="I34" s="200">
        <f>5000+5000+50000+50000+172500</f>
        <v>282500</v>
      </c>
      <c r="J34" s="230"/>
      <c r="K34" s="43">
        <f t="shared" si="11"/>
        <v>335.47699999999998</v>
      </c>
      <c r="L34" s="200">
        <v>335477</v>
      </c>
      <c r="M34" s="196">
        <f t="shared" si="3"/>
        <v>0</v>
      </c>
      <c r="N34" s="33"/>
      <c r="O34" s="43">
        <f>P34/1000*-1</f>
        <v>-247.5</v>
      </c>
      <c r="P34" s="191">
        <f t="shared" si="4"/>
        <v>247500</v>
      </c>
      <c r="Q34" s="230"/>
      <c r="R34" s="43">
        <f>S34/1000*-1</f>
        <v>-247.5</v>
      </c>
      <c r="S34" s="200">
        <v>247500</v>
      </c>
      <c r="T34" s="36"/>
      <c r="U34" s="227">
        <f t="shared" si="5"/>
        <v>54026.267514802377</v>
      </c>
      <c r="V34" s="36">
        <f t="shared" si="12"/>
        <v>54.026267514802377</v>
      </c>
      <c r="W34" s="36">
        <f t="shared" si="13"/>
        <v>87.976999999999975</v>
      </c>
      <c r="X34" s="230">
        <f t="shared" si="14"/>
        <v>0</v>
      </c>
      <c r="Y34" s="43">
        <f>K34+R34</f>
        <v>87.976999999999975</v>
      </c>
      <c r="Z34" s="47"/>
      <c r="AA34" s="47"/>
    </row>
    <row r="35" spans="1:38" ht="9" customHeight="1" x14ac:dyDescent="0.15">
      <c r="A35" s="147"/>
      <c r="B35" s="212"/>
      <c r="C35" s="140"/>
      <c r="D35" s="41">
        <f t="shared" si="10"/>
        <v>0</v>
      </c>
      <c r="E35" s="198"/>
      <c r="F35" s="196">
        <f t="shared" si="1"/>
        <v>0</v>
      </c>
      <c r="G35" s="191">
        <f t="shared" si="2"/>
        <v>0</v>
      </c>
      <c r="H35" s="33"/>
      <c r="I35" s="198"/>
      <c r="J35" s="231"/>
      <c r="K35" s="43">
        <f t="shared" si="11"/>
        <v>0</v>
      </c>
      <c r="L35" s="198"/>
      <c r="M35" s="196">
        <f t="shared" si="3"/>
        <v>0</v>
      </c>
      <c r="N35" s="36"/>
      <c r="O35" s="43"/>
      <c r="P35" s="191">
        <f t="shared" si="4"/>
        <v>0</v>
      </c>
      <c r="Q35" s="230"/>
      <c r="R35" s="43"/>
      <c r="S35" s="198"/>
      <c r="T35" s="33"/>
      <c r="U35" s="210">
        <f t="shared" si="5"/>
        <v>0</v>
      </c>
      <c r="V35" s="36"/>
      <c r="W35" s="36"/>
      <c r="X35" s="230"/>
      <c r="Y35" s="41"/>
      <c r="Z35" s="47"/>
      <c r="AA35" s="47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</row>
    <row r="36" spans="1:38" s="179" customFormat="1" x14ac:dyDescent="0.15">
      <c r="A36" s="168" t="s">
        <v>48</v>
      </c>
      <c r="B36" s="216">
        <f>B37+B47+B52+B58+B66+B69+B88+B74</f>
        <v>20.11</v>
      </c>
      <c r="C36" s="170">
        <f t="shared" ref="C36:C92" si="15">D36/1000</f>
        <v>13895.158937226757</v>
      </c>
      <c r="D36" s="41">
        <f t="shared" si="10"/>
        <v>13895158.937226757</v>
      </c>
      <c r="E36" s="191">
        <f>E37+E47+E52+E58+E66+E69+E88+E74</f>
        <v>3030476.54</v>
      </c>
      <c r="F36" s="191">
        <f t="shared" si="1"/>
        <v>17302.012999999999</v>
      </c>
      <c r="G36" s="191">
        <f t="shared" si="2"/>
        <v>17302013</v>
      </c>
      <c r="H36" s="171">
        <f>H37+H47+H52+H58+H66+H69+H74+H88</f>
        <v>4134.54</v>
      </c>
      <c r="I36" s="191">
        <f>I37+I47+I52+I58+I66+I69+I88+I74</f>
        <v>6648435</v>
      </c>
      <c r="J36" s="191">
        <f>J37+J47+J52+J58+J66+J69+J74+J88</f>
        <v>0</v>
      </c>
      <c r="K36" s="191">
        <f t="shared" si="11"/>
        <v>17302.012999999999</v>
      </c>
      <c r="L36" s="191">
        <f>L37+L47+L52+L58+L66+L69+L88+L74</f>
        <v>17302013</v>
      </c>
      <c r="M36" s="191">
        <f t="shared" si="3"/>
        <v>0</v>
      </c>
      <c r="N36" s="171">
        <f>N37+N44+N47+N52+N58+N66+N69+N88+N74</f>
        <v>0</v>
      </c>
      <c r="O36" s="171">
        <f t="shared" ref="O36:O99" si="16">P36/1000*-1</f>
        <v>-6186.0590000000002</v>
      </c>
      <c r="P36" s="191">
        <f t="shared" si="4"/>
        <v>6186059</v>
      </c>
      <c r="Q36" s="191">
        <f>Q37+Q47+Q52+Q58+Q69+Q74+Q88</f>
        <v>0</v>
      </c>
      <c r="R36" s="171">
        <f t="shared" ref="R36:R92" si="17">S36/1000*-1</f>
        <v>-6186.0590000000002</v>
      </c>
      <c r="S36" s="191">
        <f>S37+S47+S52+S58+S66+S69+S88+S74</f>
        <v>6186059</v>
      </c>
      <c r="T36" s="176">
        <f>T37+T47+T52+T58+T66+T69+T74+T88</f>
        <v>0</v>
      </c>
      <c r="U36" s="210">
        <f t="shared" si="5"/>
        <v>10864682.397226758</v>
      </c>
      <c r="V36" s="173">
        <f t="shared" ref="V36:V92" si="18">C36+M36</f>
        <v>13895.158937226757</v>
      </c>
      <c r="W36" s="173">
        <f t="shared" ref="W36:W65" si="19">F36+O36</f>
        <v>11115.953999999998</v>
      </c>
      <c r="X36" s="198">
        <f t="shared" ref="X36:Y72" si="20">J36+Q36</f>
        <v>0</v>
      </c>
      <c r="Y36" s="171">
        <f t="shared" si="20"/>
        <v>11115.953999999998</v>
      </c>
      <c r="Z36" s="174"/>
      <c r="AA36" s="174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s="117" customFormat="1" ht="9.9499999999999993" customHeight="1" x14ac:dyDescent="0.15">
      <c r="A37" s="142" t="s">
        <v>162</v>
      </c>
      <c r="B37" s="212">
        <f>SUM(B38:B44)</f>
        <v>4.8500000000000005</v>
      </c>
      <c r="C37" s="140">
        <f t="shared" si="15"/>
        <v>3332.5442144679155</v>
      </c>
      <c r="D37" s="41">
        <f t="shared" si="10"/>
        <v>3332544.2144679157</v>
      </c>
      <c r="E37" s="198">
        <f>SUM(E38:E44)</f>
        <v>712270.24</v>
      </c>
      <c r="F37" s="195">
        <f t="shared" si="1"/>
        <v>2814.3609999999999</v>
      </c>
      <c r="G37" s="191">
        <f t="shared" si="2"/>
        <v>2814361</v>
      </c>
      <c r="H37" s="33">
        <f>SUM(H38:H44)</f>
        <v>4134.54</v>
      </c>
      <c r="I37" s="241">
        <f>SUM(I38:I44)</f>
        <v>245000</v>
      </c>
      <c r="J37" s="231">
        <f>SUM(J38:J44)</f>
        <v>0</v>
      </c>
      <c r="K37" s="41">
        <f t="shared" si="11"/>
        <v>2814.3609999999999</v>
      </c>
      <c r="L37" s="198">
        <f>SUM(L38:L44)</f>
        <v>2814361</v>
      </c>
      <c r="M37" s="195">
        <f t="shared" si="3"/>
        <v>0</v>
      </c>
      <c r="N37" s="33"/>
      <c r="O37" s="41">
        <f t="shared" si="16"/>
        <v>-100</v>
      </c>
      <c r="P37" s="191">
        <f t="shared" si="4"/>
        <v>100000</v>
      </c>
      <c r="Q37" s="231">
        <f>SUM(Q38:Q44)</f>
        <v>0</v>
      </c>
      <c r="R37" s="41">
        <f t="shared" si="17"/>
        <v>-100</v>
      </c>
      <c r="S37" s="198">
        <f>SUM(S38:S46)</f>
        <v>100000</v>
      </c>
      <c r="T37" s="33">
        <f>SUM(T38:T44)</f>
        <v>0</v>
      </c>
      <c r="U37" s="210">
        <f t="shared" si="5"/>
        <v>2620273.9744679155</v>
      </c>
      <c r="V37" s="33">
        <f t="shared" si="18"/>
        <v>3332.5442144679155</v>
      </c>
      <c r="W37" s="33">
        <f t="shared" si="19"/>
        <v>2714.3609999999999</v>
      </c>
      <c r="X37" s="231">
        <f t="shared" si="20"/>
        <v>0</v>
      </c>
      <c r="Y37" s="41">
        <f t="shared" si="20"/>
        <v>2714.3609999999999</v>
      </c>
      <c r="Z37" s="47"/>
      <c r="AA37" s="47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</row>
    <row r="38" spans="1:38" s="117" customFormat="1" ht="9.9499999999999993" customHeight="1" x14ac:dyDescent="0.15">
      <c r="A38" s="144" t="s">
        <v>163</v>
      </c>
      <c r="B38" s="215">
        <v>1.25</v>
      </c>
      <c r="C38" s="145">
        <f t="shared" si="15"/>
        <v>795.87304393502961</v>
      </c>
      <c r="D38" s="41">
        <f t="shared" si="10"/>
        <v>795873.04393502965</v>
      </c>
      <c r="E38" s="200">
        <v>120544.7</v>
      </c>
      <c r="F38" s="196">
        <f t="shared" si="1"/>
        <v>667.20600000000002</v>
      </c>
      <c r="G38" s="191">
        <f t="shared" si="2"/>
        <v>667206</v>
      </c>
      <c r="H38" s="33"/>
      <c r="I38" s="200">
        <v>5000</v>
      </c>
      <c r="J38" s="230"/>
      <c r="K38" s="43">
        <f t="shared" si="11"/>
        <v>667.20600000000002</v>
      </c>
      <c r="L38" s="200">
        <v>667206</v>
      </c>
      <c r="M38" s="196">
        <f t="shared" si="3"/>
        <v>0</v>
      </c>
      <c r="N38" s="36"/>
      <c r="O38" s="43">
        <f t="shared" si="16"/>
        <v>0</v>
      </c>
      <c r="P38" s="191">
        <f t="shared" si="4"/>
        <v>0</v>
      </c>
      <c r="Q38" s="230">
        <v>0</v>
      </c>
      <c r="R38" s="43">
        <f t="shared" si="17"/>
        <v>0</v>
      </c>
      <c r="S38" s="200"/>
      <c r="T38" s="36"/>
      <c r="U38" s="210">
        <f t="shared" si="5"/>
        <v>675328.3439350297</v>
      </c>
      <c r="V38" s="36">
        <f t="shared" si="18"/>
        <v>795.87304393502961</v>
      </c>
      <c r="W38" s="36">
        <f t="shared" si="19"/>
        <v>667.20600000000002</v>
      </c>
      <c r="X38" s="230">
        <f t="shared" si="20"/>
        <v>0</v>
      </c>
      <c r="Y38" s="43">
        <f t="shared" si="20"/>
        <v>667.20600000000002</v>
      </c>
      <c r="Z38" s="47"/>
      <c r="AA38" s="47"/>
    </row>
    <row r="39" spans="1:38" s="117" customFormat="1" ht="9.9499999999999993" customHeight="1" x14ac:dyDescent="0.15">
      <c r="A39" s="144" t="s">
        <v>164</v>
      </c>
      <c r="B39" s="215">
        <v>0.25</v>
      </c>
      <c r="C39" s="145">
        <f t="shared" si="15"/>
        <v>153.44222878700594</v>
      </c>
      <c r="D39" s="41">
        <f t="shared" si="10"/>
        <v>153442.22878700594</v>
      </c>
      <c r="E39" s="200">
        <v>18376.560000000001</v>
      </c>
      <c r="F39" s="196">
        <f t="shared" si="1"/>
        <v>185.41800000000001</v>
      </c>
      <c r="G39" s="191">
        <f t="shared" si="2"/>
        <v>185418</v>
      </c>
      <c r="H39" s="33"/>
      <c r="I39" s="200"/>
      <c r="J39" s="230"/>
      <c r="K39" s="43">
        <f t="shared" si="11"/>
        <v>185.41800000000001</v>
      </c>
      <c r="L39" s="200">
        <v>185418</v>
      </c>
      <c r="M39" s="196">
        <f t="shared" si="3"/>
        <v>0</v>
      </c>
      <c r="N39" s="36"/>
      <c r="O39" s="43">
        <f t="shared" si="16"/>
        <v>0</v>
      </c>
      <c r="P39" s="191">
        <f t="shared" si="4"/>
        <v>0</v>
      </c>
      <c r="Q39" s="230">
        <v>0</v>
      </c>
      <c r="R39" s="43">
        <f t="shared" si="17"/>
        <v>0</v>
      </c>
      <c r="S39" s="200"/>
      <c r="T39" s="36"/>
      <c r="U39" s="210">
        <f t="shared" si="5"/>
        <v>135065.66878700594</v>
      </c>
      <c r="V39" s="36">
        <f t="shared" si="18"/>
        <v>153.44222878700594</v>
      </c>
      <c r="W39" s="36">
        <f t="shared" si="19"/>
        <v>185.41800000000001</v>
      </c>
      <c r="X39" s="230">
        <f t="shared" si="20"/>
        <v>0</v>
      </c>
      <c r="Y39" s="43">
        <f t="shared" si="20"/>
        <v>185.41800000000001</v>
      </c>
      <c r="Z39" s="47"/>
      <c r="AA39" s="47"/>
    </row>
    <row r="40" spans="1:38" s="117" customFormat="1" ht="9.9499999999999993" customHeight="1" x14ac:dyDescent="0.15">
      <c r="A40" s="144" t="s">
        <v>165</v>
      </c>
      <c r="B40" s="215">
        <v>0.25</v>
      </c>
      <c r="C40" s="145">
        <f t="shared" si="15"/>
        <v>168.35285878700594</v>
      </c>
      <c r="D40" s="41">
        <f t="shared" si="10"/>
        <v>168352.85878700594</v>
      </c>
      <c r="E40" s="200">
        <v>33287.19</v>
      </c>
      <c r="F40" s="196">
        <f t="shared" si="1"/>
        <v>89.465000000000003</v>
      </c>
      <c r="G40" s="191">
        <f t="shared" si="2"/>
        <v>89465</v>
      </c>
      <c r="H40" s="33">
        <f>4134.54</f>
        <v>4134.54</v>
      </c>
      <c r="I40" s="200">
        <v>10000</v>
      </c>
      <c r="J40" s="230"/>
      <c r="K40" s="43">
        <f t="shared" si="11"/>
        <v>89.465000000000003</v>
      </c>
      <c r="L40" s="200">
        <v>89465</v>
      </c>
      <c r="M40" s="196">
        <f t="shared" si="3"/>
        <v>0</v>
      </c>
      <c r="N40" s="36"/>
      <c r="O40" s="43">
        <f t="shared" si="16"/>
        <v>0</v>
      </c>
      <c r="P40" s="191">
        <f t="shared" si="4"/>
        <v>0</v>
      </c>
      <c r="Q40" s="230">
        <v>0</v>
      </c>
      <c r="R40" s="43">
        <f t="shared" si="17"/>
        <v>0</v>
      </c>
      <c r="S40" s="200"/>
      <c r="T40" s="36"/>
      <c r="U40" s="210">
        <f t="shared" si="5"/>
        <v>135065.66878700594</v>
      </c>
      <c r="V40" s="36">
        <f t="shared" si="18"/>
        <v>168.35285878700594</v>
      </c>
      <c r="W40" s="36">
        <f t="shared" si="19"/>
        <v>89.465000000000003</v>
      </c>
      <c r="X40" s="230">
        <f t="shared" si="20"/>
        <v>0</v>
      </c>
      <c r="Y40" s="43">
        <f t="shared" si="20"/>
        <v>89.465000000000003</v>
      </c>
      <c r="Z40" s="47"/>
      <c r="AA40" s="47"/>
    </row>
    <row r="41" spans="1:38" s="117" customFormat="1" ht="9.9499999999999993" customHeight="1" x14ac:dyDescent="0.15">
      <c r="A41" s="144" t="s">
        <v>166</v>
      </c>
      <c r="B41" s="215">
        <v>0.5</v>
      </c>
      <c r="C41" s="145">
        <f t="shared" si="15"/>
        <v>544.57581757401181</v>
      </c>
      <c r="D41" s="41">
        <f t="shared" si="10"/>
        <v>544575.81757401186</v>
      </c>
      <c r="E41" s="200">
        <v>274444.48</v>
      </c>
      <c r="F41" s="196">
        <f t="shared" si="1"/>
        <v>264.88299999999998</v>
      </c>
      <c r="G41" s="191">
        <f t="shared" si="2"/>
        <v>264883</v>
      </c>
      <c r="H41" s="33"/>
      <c r="I41" s="200"/>
      <c r="J41" s="230"/>
      <c r="K41" s="43">
        <f t="shared" si="11"/>
        <v>264.88299999999998</v>
      </c>
      <c r="L41" s="200">
        <v>264883</v>
      </c>
      <c r="M41" s="196">
        <f t="shared" si="3"/>
        <v>0</v>
      </c>
      <c r="N41" s="36"/>
      <c r="O41" s="43">
        <f t="shared" si="16"/>
        <v>0</v>
      </c>
      <c r="P41" s="191">
        <f t="shared" si="4"/>
        <v>0</v>
      </c>
      <c r="Q41" s="230">
        <v>0</v>
      </c>
      <c r="R41" s="43">
        <f t="shared" si="17"/>
        <v>0</v>
      </c>
      <c r="S41" s="200"/>
      <c r="T41" s="36"/>
      <c r="U41" s="210">
        <f t="shared" si="5"/>
        <v>270131.33757401188</v>
      </c>
      <c r="V41" s="36">
        <f t="shared" si="18"/>
        <v>544.57581757401181</v>
      </c>
      <c r="W41" s="36">
        <f t="shared" si="19"/>
        <v>264.88299999999998</v>
      </c>
      <c r="X41" s="230">
        <f t="shared" si="20"/>
        <v>0</v>
      </c>
      <c r="Y41" s="43">
        <f t="shared" si="20"/>
        <v>264.88299999999998</v>
      </c>
      <c r="Z41" s="47"/>
      <c r="AA41" s="47"/>
    </row>
    <row r="42" spans="1:38" s="117" customFormat="1" ht="9.9499999999999993" customHeight="1" x14ac:dyDescent="0.15">
      <c r="A42" s="144" t="s">
        <v>167</v>
      </c>
      <c r="B42" s="215">
        <v>0.45</v>
      </c>
      <c r="C42" s="145">
        <f t="shared" si="15"/>
        <v>374.85197381661072</v>
      </c>
      <c r="D42" s="41">
        <f t="shared" si="10"/>
        <v>374851.9738166107</v>
      </c>
      <c r="E42" s="200">
        <v>131733.76999999999</v>
      </c>
      <c r="F42" s="196">
        <f t="shared" si="1"/>
        <v>238.39400000000001</v>
      </c>
      <c r="G42" s="191">
        <f t="shared" si="2"/>
        <v>238394</v>
      </c>
      <c r="H42" s="33"/>
      <c r="I42" s="200">
        <v>0</v>
      </c>
      <c r="J42" s="230"/>
      <c r="K42" s="43">
        <f t="shared" si="11"/>
        <v>238.39400000000001</v>
      </c>
      <c r="L42" s="200">
        <v>238394</v>
      </c>
      <c r="M42" s="196">
        <f t="shared" si="3"/>
        <v>0</v>
      </c>
      <c r="N42" s="36"/>
      <c r="O42" s="43"/>
      <c r="P42" s="191">
        <f t="shared" si="4"/>
        <v>0</v>
      </c>
      <c r="Q42" s="230"/>
      <c r="R42" s="43">
        <f t="shared" si="17"/>
        <v>0</v>
      </c>
      <c r="S42" s="200"/>
      <c r="T42" s="36"/>
      <c r="U42" s="210">
        <f t="shared" si="5"/>
        <v>243118.20381661071</v>
      </c>
      <c r="V42" s="36">
        <f t="shared" si="18"/>
        <v>374.85197381661072</v>
      </c>
      <c r="W42" s="36">
        <f t="shared" si="19"/>
        <v>238.39400000000001</v>
      </c>
      <c r="X42" s="230">
        <f t="shared" si="20"/>
        <v>0</v>
      </c>
      <c r="Y42" s="43">
        <f t="shared" si="20"/>
        <v>238.39400000000001</v>
      </c>
      <c r="Z42" s="47"/>
      <c r="AA42" s="47"/>
    </row>
    <row r="43" spans="1:38" s="117" customFormat="1" ht="8.25" customHeight="1" x14ac:dyDescent="0.15">
      <c r="A43" s="144" t="s">
        <v>168</v>
      </c>
      <c r="B43" s="215">
        <v>0.35</v>
      </c>
      <c r="C43" s="145">
        <f t="shared" si="15"/>
        <v>189.09193630180832</v>
      </c>
      <c r="D43" s="41">
        <f t="shared" si="10"/>
        <v>189091.93630180831</v>
      </c>
      <c r="E43" s="200"/>
      <c r="F43" s="196">
        <f t="shared" si="1"/>
        <v>285.41800000000001</v>
      </c>
      <c r="G43" s="191">
        <f t="shared" si="2"/>
        <v>285418</v>
      </c>
      <c r="H43" s="33"/>
      <c r="I43" s="200">
        <v>100000</v>
      </c>
      <c r="J43" s="230"/>
      <c r="K43" s="43">
        <f t="shared" si="11"/>
        <v>285.41800000000001</v>
      </c>
      <c r="L43" s="200">
        <v>285418</v>
      </c>
      <c r="M43" s="196">
        <f t="shared" si="3"/>
        <v>0</v>
      </c>
      <c r="N43" s="36"/>
      <c r="O43" s="43">
        <f t="shared" si="16"/>
        <v>0</v>
      </c>
      <c r="P43" s="191">
        <f t="shared" si="4"/>
        <v>0</v>
      </c>
      <c r="Q43" s="230">
        <v>0</v>
      </c>
      <c r="R43" s="43">
        <f t="shared" si="17"/>
        <v>0</v>
      </c>
      <c r="S43" s="200"/>
      <c r="T43" s="36"/>
      <c r="U43" s="210">
        <f t="shared" si="5"/>
        <v>189091.93630180831</v>
      </c>
      <c r="V43" s="36">
        <f t="shared" si="18"/>
        <v>189.09193630180832</v>
      </c>
      <c r="W43" s="36">
        <f t="shared" si="19"/>
        <v>285.41800000000001</v>
      </c>
      <c r="X43" s="230">
        <f t="shared" si="20"/>
        <v>0</v>
      </c>
      <c r="Y43" s="43">
        <f t="shared" si="20"/>
        <v>285.41800000000001</v>
      </c>
      <c r="Z43" s="47"/>
      <c r="AA43" s="47"/>
    </row>
    <row r="44" spans="1:38" s="118" customFormat="1" ht="9.9499999999999993" customHeight="1" x14ac:dyDescent="0.15">
      <c r="A44" s="144" t="s">
        <v>169</v>
      </c>
      <c r="B44" s="215">
        <v>1.8</v>
      </c>
      <c r="C44" s="145">
        <f t="shared" si="15"/>
        <v>1106.3563552664427</v>
      </c>
      <c r="D44" s="41">
        <f t="shared" si="10"/>
        <v>1106356.3552664428</v>
      </c>
      <c r="E44" s="200">
        <v>133883.54</v>
      </c>
      <c r="F44" s="196">
        <f t="shared" si="1"/>
        <v>1083.577</v>
      </c>
      <c r="G44" s="191">
        <f t="shared" si="2"/>
        <v>1083577</v>
      </c>
      <c r="H44" s="33"/>
      <c r="I44" s="200">
        <v>130000</v>
      </c>
      <c r="J44" s="230"/>
      <c r="K44" s="43">
        <f t="shared" si="11"/>
        <v>1083.577</v>
      </c>
      <c r="L44" s="200">
        <v>1083577</v>
      </c>
      <c r="M44" s="196">
        <f t="shared" si="3"/>
        <v>0</v>
      </c>
      <c r="N44" s="33">
        <f>N45+N46</f>
        <v>0</v>
      </c>
      <c r="O44" s="43">
        <f t="shared" si="16"/>
        <v>-100</v>
      </c>
      <c r="P44" s="191">
        <f t="shared" si="4"/>
        <v>100000</v>
      </c>
      <c r="Q44" s="230"/>
      <c r="R44" s="43">
        <f t="shared" si="17"/>
        <v>-100</v>
      </c>
      <c r="S44" s="200">
        <v>100000</v>
      </c>
      <c r="T44" s="36"/>
      <c r="U44" s="227">
        <f t="shared" si="5"/>
        <v>972472.81526644283</v>
      </c>
      <c r="V44" s="36">
        <f t="shared" si="18"/>
        <v>1106.3563552664427</v>
      </c>
      <c r="W44" s="36">
        <f t="shared" si="19"/>
        <v>983.577</v>
      </c>
      <c r="X44" s="230">
        <f t="shared" si="20"/>
        <v>0</v>
      </c>
      <c r="Y44" s="43">
        <f t="shared" si="20"/>
        <v>983.577</v>
      </c>
      <c r="Z44" s="47"/>
      <c r="AA44" s="47"/>
    </row>
    <row r="45" spans="1:38" s="117" customFormat="1" ht="9" hidden="1" customHeight="1" x14ac:dyDescent="0.15">
      <c r="A45" s="144"/>
      <c r="B45" s="215"/>
      <c r="C45" s="145">
        <f t="shared" si="15"/>
        <v>0</v>
      </c>
      <c r="D45" s="41">
        <f t="shared" si="10"/>
        <v>0</v>
      </c>
      <c r="E45" s="200"/>
      <c r="F45" s="195">
        <f t="shared" si="1"/>
        <v>0</v>
      </c>
      <c r="G45" s="191">
        <f t="shared" si="2"/>
        <v>0</v>
      </c>
      <c r="H45" s="33"/>
      <c r="I45" s="200"/>
      <c r="J45" s="230"/>
      <c r="K45" s="41">
        <f t="shared" si="11"/>
        <v>0</v>
      </c>
      <c r="L45" s="200"/>
      <c r="M45" s="195">
        <f t="shared" si="3"/>
        <v>0</v>
      </c>
      <c r="N45" s="36"/>
      <c r="O45" s="43">
        <f t="shared" si="16"/>
        <v>0</v>
      </c>
      <c r="P45" s="191">
        <f t="shared" si="4"/>
        <v>0</v>
      </c>
      <c r="Q45" s="230">
        <v>0</v>
      </c>
      <c r="R45" s="43">
        <f t="shared" si="17"/>
        <v>0</v>
      </c>
      <c r="S45" s="200"/>
      <c r="T45" s="36"/>
      <c r="U45" s="210">
        <f t="shared" si="5"/>
        <v>0</v>
      </c>
      <c r="V45" s="36">
        <f t="shared" si="18"/>
        <v>0</v>
      </c>
      <c r="W45" s="36">
        <f t="shared" si="19"/>
        <v>0</v>
      </c>
      <c r="X45" s="230">
        <f t="shared" si="20"/>
        <v>0</v>
      </c>
      <c r="Y45" s="43">
        <f t="shared" si="20"/>
        <v>0</v>
      </c>
      <c r="Z45" s="47"/>
      <c r="AA45" s="47"/>
    </row>
    <row r="46" spans="1:38" s="117" customFormat="1" ht="9.9499999999999993" hidden="1" customHeight="1" x14ac:dyDescent="0.15">
      <c r="A46" s="144"/>
      <c r="B46" s="215"/>
      <c r="C46" s="145">
        <f t="shared" si="15"/>
        <v>0</v>
      </c>
      <c r="D46" s="41">
        <f t="shared" si="10"/>
        <v>0</v>
      </c>
      <c r="E46" s="200"/>
      <c r="F46" s="195">
        <f t="shared" si="1"/>
        <v>0</v>
      </c>
      <c r="G46" s="191">
        <f t="shared" si="2"/>
        <v>0</v>
      </c>
      <c r="H46" s="33"/>
      <c r="I46" s="200"/>
      <c r="J46" s="230"/>
      <c r="K46" s="41">
        <f t="shared" si="11"/>
        <v>0</v>
      </c>
      <c r="L46" s="200"/>
      <c r="M46" s="195">
        <f t="shared" si="3"/>
        <v>0</v>
      </c>
      <c r="N46" s="36"/>
      <c r="O46" s="43">
        <f t="shared" si="16"/>
        <v>0</v>
      </c>
      <c r="P46" s="191">
        <f t="shared" si="4"/>
        <v>0</v>
      </c>
      <c r="Q46" s="230">
        <v>0</v>
      </c>
      <c r="R46" s="43">
        <f t="shared" si="17"/>
        <v>0</v>
      </c>
      <c r="S46" s="200"/>
      <c r="T46" s="36"/>
      <c r="U46" s="210">
        <f t="shared" si="5"/>
        <v>0</v>
      </c>
      <c r="V46" s="36">
        <f t="shared" si="18"/>
        <v>0</v>
      </c>
      <c r="W46" s="36">
        <f t="shared" si="19"/>
        <v>0</v>
      </c>
      <c r="X46" s="230">
        <f t="shared" si="20"/>
        <v>0</v>
      </c>
      <c r="Y46" s="43">
        <f t="shared" si="20"/>
        <v>0</v>
      </c>
      <c r="Z46" s="47"/>
      <c r="AA46" s="47"/>
    </row>
    <row r="47" spans="1:38" s="118" customFormat="1" ht="9.9499999999999993" customHeight="1" x14ac:dyDescent="0.15">
      <c r="A47" s="142" t="s">
        <v>170</v>
      </c>
      <c r="B47" s="212">
        <f>SUM(B48:B51)</f>
        <v>1.9000000000000001</v>
      </c>
      <c r="C47" s="140">
        <f t="shared" si="15"/>
        <v>1208.9536127812453</v>
      </c>
      <c r="D47" s="41">
        <f t="shared" si="10"/>
        <v>1208953.6127812453</v>
      </c>
      <c r="E47" s="198">
        <f>SUM(E48:E51)</f>
        <v>182454.53</v>
      </c>
      <c r="F47" s="195">
        <f t="shared" si="1"/>
        <v>1131.5540000000001</v>
      </c>
      <c r="G47" s="191">
        <f t="shared" si="2"/>
        <v>1131554</v>
      </c>
      <c r="H47" s="33"/>
      <c r="I47" s="198">
        <f>I48+I49+I50+I51</f>
        <v>125000</v>
      </c>
      <c r="J47" s="231">
        <f>SUM(J48:J49)</f>
        <v>0</v>
      </c>
      <c r="K47" s="41">
        <f t="shared" si="11"/>
        <v>1131.5540000000001</v>
      </c>
      <c r="L47" s="198">
        <f>SUM(L48:L51)</f>
        <v>1131554</v>
      </c>
      <c r="M47" s="195">
        <f t="shared" si="3"/>
        <v>0</v>
      </c>
      <c r="N47" s="33">
        <f>N49+N48+N50+N51</f>
        <v>0</v>
      </c>
      <c r="O47" s="41">
        <f t="shared" si="16"/>
        <v>0</v>
      </c>
      <c r="P47" s="191">
        <f t="shared" si="4"/>
        <v>0</v>
      </c>
      <c r="Q47" s="231">
        <f>SUM(Q48:Q49)</f>
        <v>0</v>
      </c>
      <c r="R47" s="41">
        <f t="shared" si="17"/>
        <v>0</v>
      </c>
      <c r="S47" s="198">
        <f>SUM(S48:S51)</f>
        <v>0</v>
      </c>
      <c r="T47" s="33">
        <f>SUM(T48:T51)</f>
        <v>0</v>
      </c>
      <c r="U47" s="210">
        <f t="shared" si="5"/>
        <v>1026499.0827812452</v>
      </c>
      <c r="V47" s="33">
        <f t="shared" si="18"/>
        <v>1208.9536127812453</v>
      </c>
      <c r="W47" s="33">
        <f t="shared" si="19"/>
        <v>1131.5540000000001</v>
      </c>
      <c r="X47" s="231">
        <f t="shared" si="20"/>
        <v>0</v>
      </c>
      <c r="Y47" s="41">
        <f t="shared" si="20"/>
        <v>1131.5540000000001</v>
      </c>
      <c r="Z47" s="47"/>
      <c r="AA47" s="47"/>
    </row>
    <row r="48" spans="1:38" s="117" customFormat="1" ht="9.9499999999999993" customHeight="1" x14ac:dyDescent="0.15">
      <c r="A48" s="144" t="s">
        <v>171</v>
      </c>
      <c r="B48" s="215">
        <v>1.1000000000000001</v>
      </c>
      <c r="C48" s="145">
        <f t="shared" si="15"/>
        <v>657.24512266282625</v>
      </c>
      <c r="D48" s="41">
        <f t="shared" si="10"/>
        <v>657245.12266282621</v>
      </c>
      <c r="E48" s="200">
        <v>62956.18</v>
      </c>
      <c r="F48" s="196">
        <f t="shared" si="1"/>
        <v>697.74199999999996</v>
      </c>
      <c r="G48" s="191">
        <f t="shared" si="2"/>
        <v>697742</v>
      </c>
      <c r="H48" s="33"/>
      <c r="I48" s="200">
        <v>115000</v>
      </c>
      <c r="J48" s="230"/>
      <c r="K48" s="43">
        <f t="shared" si="11"/>
        <v>697.74199999999996</v>
      </c>
      <c r="L48" s="200">
        <v>697742</v>
      </c>
      <c r="M48" s="196">
        <f t="shared" si="3"/>
        <v>0</v>
      </c>
      <c r="N48" s="36"/>
      <c r="O48" s="43">
        <f t="shared" si="16"/>
        <v>0</v>
      </c>
      <c r="P48" s="191">
        <f t="shared" si="4"/>
        <v>0</v>
      </c>
      <c r="Q48" s="230">
        <v>0</v>
      </c>
      <c r="R48" s="43">
        <f t="shared" si="17"/>
        <v>0</v>
      </c>
      <c r="S48" s="200"/>
      <c r="T48" s="36"/>
      <c r="U48" s="210">
        <f t="shared" si="5"/>
        <v>594288.94266282616</v>
      </c>
      <c r="V48" s="36">
        <f t="shared" si="18"/>
        <v>657.24512266282625</v>
      </c>
      <c r="W48" s="36">
        <f t="shared" si="19"/>
        <v>697.74199999999996</v>
      </c>
      <c r="X48" s="230">
        <f t="shared" si="20"/>
        <v>0</v>
      </c>
      <c r="Y48" s="43">
        <f t="shared" si="20"/>
        <v>697.74199999999996</v>
      </c>
      <c r="Z48" s="47"/>
      <c r="AA48" s="47"/>
    </row>
    <row r="49" spans="1:27" s="117" customFormat="1" ht="9.9499999999999993" customHeight="1" x14ac:dyDescent="0.15">
      <c r="A49" s="144" t="s">
        <v>172</v>
      </c>
      <c r="B49" s="215">
        <v>0.8</v>
      </c>
      <c r="C49" s="145">
        <f t="shared" si="15"/>
        <v>551.70849011841904</v>
      </c>
      <c r="D49" s="41">
        <f t="shared" si="10"/>
        <v>551708.49011841905</v>
      </c>
      <c r="E49" s="200">
        <v>119498.35</v>
      </c>
      <c r="F49" s="196">
        <f t="shared" si="1"/>
        <v>433.81200000000001</v>
      </c>
      <c r="G49" s="191">
        <f t="shared" si="2"/>
        <v>433812</v>
      </c>
      <c r="H49" s="33"/>
      <c r="I49" s="200">
        <v>10000</v>
      </c>
      <c r="J49" s="230"/>
      <c r="K49" s="43">
        <f t="shared" si="11"/>
        <v>433.81200000000001</v>
      </c>
      <c r="L49" s="200">
        <v>433812</v>
      </c>
      <c r="M49" s="196">
        <f t="shared" si="3"/>
        <v>0</v>
      </c>
      <c r="N49" s="36"/>
      <c r="O49" s="43">
        <f t="shared" si="16"/>
        <v>0</v>
      </c>
      <c r="P49" s="191">
        <f t="shared" si="4"/>
        <v>0</v>
      </c>
      <c r="Q49" s="230"/>
      <c r="R49" s="43">
        <f t="shared" si="17"/>
        <v>0</v>
      </c>
      <c r="S49" s="200"/>
      <c r="T49" s="36"/>
      <c r="U49" s="210">
        <f t="shared" si="5"/>
        <v>432210.14011841902</v>
      </c>
      <c r="V49" s="36">
        <f t="shared" si="18"/>
        <v>551.70849011841904</v>
      </c>
      <c r="W49" s="36">
        <f t="shared" si="19"/>
        <v>433.81200000000001</v>
      </c>
      <c r="X49" s="230">
        <f t="shared" si="20"/>
        <v>0</v>
      </c>
      <c r="Y49" s="43">
        <f t="shared" si="20"/>
        <v>433.81200000000001</v>
      </c>
      <c r="Z49" s="47"/>
      <c r="AA49" s="47"/>
    </row>
    <row r="50" spans="1:27" s="117" customFormat="1" ht="9.9499999999999993" hidden="1" customHeight="1" x14ac:dyDescent="0.15">
      <c r="A50" s="144"/>
      <c r="B50" s="215"/>
      <c r="C50" s="145">
        <f t="shared" si="15"/>
        <v>0</v>
      </c>
      <c r="D50" s="41">
        <f t="shared" si="10"/>
        <v>0</v>
      </c>
      <c r="E50" s="200"/>
      <c r="F50" s="195">
        <f t="shared" si="1"/>
        <v>0</v>
      </c>
      <c r="G50" s="191">
        <f t="shared" si="2"/>
        <v>0</v>
      </c>
      <c r="H50" s="33"/>
      <c r="I50" s="200"/>
      <c r="J50" s="230"/>
      <c r="K50" s="41">
        <f t="shared" si="11"/>
        <v>0</v>
      </c>
      <c r="L50" s="200"/>
      <c r="M50" s="195">
        <f t="shared" si="3"/>
        <v>0</v>
      </c>
      <c r="N50" s="36"/>
      <c r="O50" s="43">
        <f t="shared" si="16"/>
        <v>0</v>
      </c>
      <c r="P50" s="191">
        <f t="shared" si="4"/>
        <v>0</v>
      </c>
      <c r="Q50" s="230">
        <v>0</v>
      </c>
      <c r="R50" s="43">
        <f t="shared" si="17"/>
        <v>0</v>
      </c>
      <c r="S50" s="200"/>
      <c r="T50" s="36"/>
      <c r="U50" s="210">
        <f t="shared" si="5"/>
        <v>0</v>
      </c>
      <c r="V50" s="36">
        <f t="shared" si="18"/>
        <v>0</v>
      </c>
      <c r="W50" s="36">
        <f t="shared" si="19"/>
        <v>0</v>
      </c>
      <c r="X50" s="230">
        <f t="shared" si="20"/>
        <v>0</v>
      </c>
      <c r="Y50" s="43">
        <f t="shared" si="20"/>
        <v>0</v>
      </c>
      <c r="Z50" s="47"/>
      <c r="AA50" s="47"/>
    </row>
    <row r="51" spans="1:27" s="117" customFormat="1" ht="9.9499999999999993" hidden="1" customHeight="1" x14ac:dyDescent="0.15">
      <c r="A51" s="144"/>
      <c r="B51" s="215"/>
      <c r="C51" s="145">
        <f t="shared" si="15"/>
        <v>0</v>
      </c>
      <c r="D51" s="41">
        <f t="shared" si="10"/>
        <v>0</v>
      </c>
      <c r="E51" s="200"/>
      <c r="F51" s="195">
        <f t="shared" si="1"/>
        <v>0</v>
      </c>
      <c r="G51" s="191">
        <f t="shared" si="2"/>
        <v>0</v>
      </c>
      <c r="H51" s="33"/>
      <c r="I51" s="200"/>
      <c r="J51" s="230"/>
      <c r="K51" s="41">
        <f t="shared" si="11"/>
        <v>0</v>
      </c>
      <c r="L51" s="200"/>
      <c r="M51" s="195">
        <f t="shared" si="3"/>
        <v>0</v>
      </c>
      <c r="N51" s="36"/>
      <c r="O51" s="43">
        <f t="shared" si="16"/>
        <v>0</v>
      </c>
      <c r="P51" s="191">
        <f t="shared" si="4"/>
        <v>0</v>
      </c>
      <c r="Q51" s="230">
        <v>0</v>
      </c>
      <c r="R51" s="43">
        <f t="shared" si="17"/>
        <v>0</v>
      </c>
      <c r="S51" s="200"/>
      <c r="T51" s="36"/>
      <c r="U51" s="210">
        <f t="shared" si="5"/>
        <v>0</v>
      </c>
      <c r="V51" s="36">
        <f t="shared" si="18"/>
        <v>0</v>
      </c>
      <c r="W51" s="36">
        <f t="shared" si="19"/>
        <v>0</v>
      </c>
      <c r="X51" s="230">
        <f t="shared" si="20"/>
        <v>0</v>
      </c>
      <c r="Y51" s="43">
        <f t="shared" si="20"/>
        <v>0</v>
      </c>
      <c r="Z51" s="47"/>
      <c r="AA51" s="47"/>
    </row>
    <row r="52" spans="1:27" s="118" customFormat="1" ht="9.9499999999999993" customHeight="1" x14ac:dyDescent="0.15">
      <c r="A52" s="142" t="s">
        <v>173</v>
      </c>
      <c r="B52" s="212">
        <f>SUM(B53:B57)</f>
        <v>3.25</v>
      </c>
      <c r="C52" s="140">
        <f t="shared" si="15"/>
        <v>1912.5109242310771</v>
      </c>
      <c r="D52" s="41">
        <f t="shared" si="10"/>
        <v>1912510.9242310771</v>
      </c>
      <c r="E52" s="198">
        <f>SUM(E53:E57)</f>
        <v>156657.23000000001</v>
      </c>
      <c r="F52" s="195">
        <f t="shared" si="1"/>
        <v>2191.7370000000001</v>
      </c>
      <c r="G52" s="191">
        <f t="shared" si="2"/>
        <v>2191737</v>
      </c>
      <c r="H52" s="33"/>
      <c r="I52" s="198">
        <f>I53+I54+I55+I56+I57</f>
        <v>470000</v>
      </c>
      <c r="J52" s="231">
        <f>SUM(J53:J55)</f>
        <v>0</v>
      </c>
      <c r="K52" s="41">
        <f t="shared" si="11"/>
        <v>2191.7370000000001</v>
      </c>
      <c r="L52" s="198">
        <f>SUM(L53:L57)</f>
        <v>2191737</v>
      </c>
      <c r="M52" s="195">
        <f t="shared" si="3"/>
        <v>0</v>
      </c>
      <c r="N52" s="33">
        <f>N53+N54+N55+N56+N57</f>
        <v>0</v>
      </c>
      <c r="O52" s="41">
        <f t="shared" si="16"/>
        <v>-100</v>
      </c>
      <c r="P52" s="191">
        <f t="shared" si="4"/>
        <v>100000</v>
      </c>
      <c r="Q52" s="231">
        <f>Q53+Q54+Q55+Q57+Q56</f>
        <v>0</v>
      </c>
      <c r="R52" s="41">
        <f t="shared" si="17"/>
        <v>-100</v>
      </c>
      <c r="S52" s="198">
        <f>S54+S55+S56+S57</f>
        <v>100000</v>
      </c>
      <c r="T52" s="33">
        <f>SUM(T53:T55)</f>
        <v>0</v>
      </c>
      <c r="U52" s="210">
        <f t="shared" si="5"/>
        <v>1755853.6942310771</v>
      </c>
      <c r="V52" s="33">
        <f t="shared" si="18"/>
        <v>1912.5109242310771</v>
      </c>
      <c r="W52" s="33">
        <f t="shared" si="19"/>
        <v>2091.7370000000001</v>
      </c>
      <c r="X52" s="231">
        <f t="shared" si="20"/>
        <v>0</v>
      </c>
      <c r="Y52" s="41">
        <f t="shared" si="20"/>
        <v>2091.7370000000001</v>
      </c>
      <c r="Z52" s="47"/>
      <c r="AA52" s="47"/>
    </row>
    <row r="53" spans="1:27" s="117" customFormat="1" ht="9.9499999999999993" customHeight="1" x14ac:dyDescent="0.15">
      <c r="A53" s="144" t="s">
        <v>174</v>
      </c>
      <c r="B53" s="215">
        <v>2.2000000000000002</v>
      </c>
      <c r="C53" s="145">
        <f t="shared" si="15"/>
        <v>1292.2663053256522</v>
      </c>
      <c r="D53" s="41">
        <f t="shared" si="10"/>
        <v>1292266.3053256522</v>
      </c>
      <c r="E53" s="200">
        <v>103688.42</v>
      </c>
      <c r="F53" s="196">
        <f t="shared" si="1"/>
        <v>1276.019</v>
      </c>
      <c r="G53" s="191">
        <f t="shared" si="2"/>
        <v>1276019</v>
      </c>
      <c r="H53" s="33"/>
      <c r="I53" s="200">
        <v>190000</v>
      </c>
      <c r="J53" s="230"/>
      <c r="K53" s="43">
        <f t="shared" si="11"/>
        <v>1276.019</v>
      </c>
      <c r="L53" s="200">
        <v>1276019</v>
      </c>
      <c r="M53" s="196">
        <f t="shared" si="3"/>
        <v>0</v>
      </c>
      <c r="N53" s="36"/>
      <c r="O53" s="43">
        <f t="shared" si="16"/>
        <v>0</v>
      </c>
      <c r="P53" s="191">
        <f t="shared" si="4"/>
        <v>0</v>
      </c>
      <c r="Q53" s="230"/>
      <c r="R53" s="43">
        <f t="shared" si="17"/>
        <v>0</v>
      </c>
      <c r="S53" s="200"/>
      <c r="T53" s="36"/>
      <c r="U53" s="210">
        <f t="shared" si="5"/>
        <v>1188577.8853256523</v>
      </c>
      <c r="V53" s="36">
        <f t="shared" si="18"/>
        <v>1292.2663053256522</v>
      </c>
      <c r="W53" s="36">
        <f t="shared" si="19"/>
        <v>1276.019</v>
      </c>
      <c r="X53" s="230">
        <f t="shared" si="20"/>
        <v>0</v>
      </c>
      <c r="Y53" s="43">
        <f t="shared" si="20"/>
        <v>1276.019</v>
      </c>
      <c r="Z53" s="47"/>
      <c r="AA53" s="47"/>
    </row>
    <row r="54" spans="1:27" s="117" customFormat="1" ht="9.9499999999999993" customHeight="1" x14ac:dyDescent="0.15">
      <c r="A54" s="144" t="s">
        <v>175</v>
      </c>
      <c r="B54" s="215">
        <v>0.9</v>
      </c>
      <c r="C54" s="145">
        <f t="shared" si="15"/>
        <v>499.19028763322143</v>
      </c>
      <c r="D54" s="41">
        <f t="shared" si="10"/>
        <v>499190.28763322142</v>
      </c>
      <c r="E54" s="200">
        <v>12953.88</v>
      </c>
      <c r="F54" s="196">
        <f t="shared" si="1"/>
        <v>603.81200000000001</v>
      </c>
      <c r="G54" s="191">
        <f t="shared" si="2"/>
        <v>603812</v>
      </c>
      <c r="H54" s="33"/>
      <c r="I54" s="200">
        <v>180000</v>
      </c>
      <c r="J54" s="230"/>
      <c r="K54" s="43">
        <f t="shared" si="11"/>
        <v>603.81200000000001</v>
      </c>
      <c r="L54" s="200">
        <v>603812</v>
      </c>
      <c r="M54" s="196">
        <f t="shared" si="3"/>
        <v>0</v>
      </c>
      <c r="N54" s="36"/>
      <c r="O54" s="43">
        <f t="shared" si="16"/>
        <v>0</v>
      </c>
      <c r="P54" s="191">
        <f t="shared" si="4"/>
        <v>0</v>
      </c>
      <c r="Q54" s="230"/>
      <c r="R54" s="43">
        <f t="shared" si="17"/>
        <v>0</v>
      </c>
      <c r="S54" s="200"/>
      <c r="T54" s="36"/>
      <c r="U54" s="210">
        <f t="shared" si="5"/>
        <v>486236.40763322142</v>
      </c>
      <c r="V54" s="36">
        <f t="shared" si="18"/>
        <v>499.19028763322143</v>
      </c>
      <c r="W54" s="36">
        <f t="shared" si="19"/>
        <v>603.81200000000001</v>
      </c>
      <c r="X54" s="230">
        <f t="shared" si="20"/>
        <v>0</v>
      </c>
      <c r="Y54" s="43">
        <f t="shared" si="20"/>
        <v>603.81200000000001</v>
      </c>
      <c r="Z54" s="47"/>
      <c r="AA54" s="47"/>
    </row>
    <row r="55" spans="1:27" s="117" customFormat="1" ht="9.9499999999999993" customHeight="1" x14ac:dyDescent="0.15">
      <c r="A55" s="144" t="s">
        <v>176</v>
      </c>
      <c r="B55" s="215">
        <v>0.15</v>
      </c>
      <c r="C55" s="145">
        <f t="shared" si="15"/>
        <v>121.05433127220357</v>
      </c>
      <c r="D55" s="41">
        <f t="shared" si="10"/>
        <v>121054.33127220356</v>
      </c>
      <c r="E55" s="200">
        <v>40014.93</v>
      </c>
      <c r="F55" s="196">
        <f t="shared" si="1"/>
        <v>311.90600000000001</v>
      </c>
      <c r="G55" s="191">
        <f t="shared" si="2"/>
        <v>311906</v>
      </c>
      <c r="H55" s="33"/>
      <c r="I55" s="200">
        <v>100000</v>
      </c>
      <c r="J55" s="230"/>
      <c r="K55" s="43">
        <f t="shared" si="11"/>
        <v>311.90600000000001</v>
      </c>
      <c r="L55" s="200">
        <v>311906</v>
      </c>
      <c r="M55" s="196">
        <f t="shared" si="3"/>
        <v>0</v>
      </c>
      <c r="N55" s="36"/>
      <c r="O55" s="43">
        <f t="shared" si="16"/>
        <v>-100</v>
      </c>
      <c r="P55" s="191">
        <f t="shared" si="4"/>
        <v>100000</v>
      </c>
      <c r="Q55" s="230">
        <v>0</v>
      </c>
      <c r="R55" s="43">
        <f t="shared" si="17"/>
        <v>-100</v>
      </c>
      <c r="S55" s="200">
        <v>100000</v>
      </c>
      <c r="T55" s="36"/>
      <c r="U55" s="210">
        <f t="shared" si="5"/>
        <v>81039.401272203555</v>
      </c>
      <c r="V55" s="36">
        <f t="shared" si="18"/>
        <v>121.05433127220357</v>
      </c>
      <c r="W55" s="36">
        <f t="shared" si="19"/>
        <v>211.90600000000001</v>
      </c>
      <c r="X55" s="230">
        <f t="shared" si="20"/>
        <v>0</v>
      </c>
      <c r="Y55" s="43">
        <f t="shared" si="20"/>
        <v>211.90600000000001</v>
      </c>
      <c r="Z55" s="47"/>
      <c r="AA55" s="47"/>
    </row>
    <row r="56" spans="1:27" s="117" customFormat="1" ht="9.9499999999999993" hidden="1" customHeight="1" x14ac:dyDescent="0.15">
      <c r="A56" s="144"/>
      <c r="B56" s="212"/>
      <c r="C56" s="145">
        <f t="shared" si="15"/>
        <v>0</v>
      </c>
      <c r="D56" s="41">
        <f t="shared" si="10"/>
        <v>0</v>
      </c>
      <c r="E56" s="200"/>
      <c r="F56" s="195">
        <f t="shared" si="1"/>
        <v>0</v>
      </c>
      <c r="G56" s="191">
        <f t="shared" si="2"/>
        <v>0</v>
      </c>
      <c r="H56" s="33"/>
      <c r="I56" s="200"/>
      <c r="J56" s="230"/>
      <c r="K56" s="41">
        <f t="shared" si="11"/>
        <v>0</v>
      </c>
      <c r="L56" s="200"/>
      <c r="M56" s="195">
        <f t="shared" si="3"/>
        <v>0</v>
      </c>
      <c r="N56" s="36"/>
      <c r="O56" s="43">
        <f t="shared" si="16"/>
        <v>0</v>
      </c>
      <c r="P56" s="191">
        <f t="shared" si="4"/>
        <v>0</v>
      </c>
      <c r="Q56" s="230"/>
      <c r="R56" s="43">
        <f t="shared" si="17"/>
        <v>0</v>
      </c>
      <c r="S56" s="200"/>
      <c r="T56" s="36"/>
      <c r="U56" s="210">
        <f t="shared" si="5"/>
        <v>0</v>
      </c>
      <c r="V56" s="36">
        <f t="shared" si="18"/>
        <v>0</v>
      </c>
      <c r="W56" s="36">
        <f t="shared" si="19"/>
        <v>0</v>
      </c>
      <c r="X56" s="230">
        <f t="shared" si="20"/>
        <v>0</v>
      </c>
      <c r="Y56" s="43">
        <f t="shared" si="20"/>
        <v>0</v>
      </c>
      <c r="Z56" s="47"/>
      <c r="AA56" s="47"/>
    </row>
    <row r="57" spans="1:27" s="117" customFormat="1" ht="9.9499999999999993" hidden="1" customHeight="1" x14ac:dyDescent="0.15">
      <c r="A57" s="144"/>
      <c r="B57" s="212"/>
      <c r="C57" s="145">
        <f t="shared" si="15"/>
        <v>0</v>
      </c>
      <c r="D57" s="41">
        <f t="shared" si="10"/>
        <v>0</v>
      </c>
      <c r="E57" s="200"/>
      <c r="F57" s="195">
        <f t="shared" si="1"/>
        <v>0</v>
      </c>
      <c r="G57" s="191">
        <f t="shared" si="2"/>
        <v>0</v>
      </c>
      <c r="H57" s="33"/>
      <c r="I57" s="200"/>
      <c r="J57" s="230"/>
      <c r="K57" s="41">
        <f t="shared" si="11"/>
        <v>0</v>
      </c>
      <c r="L57" s="200"/>
      <c r="M57" s="195">
        <f t="shared" si="3"/>
        <v>0</v>
      </c>
      <c r="N57" s="36"/>
      <c r="O57" s="43">
        <f t="shared" si="16"/>
        <v>0</v>
      </c>
      <c r="P57" s="191">
        <f t="shared" si="4"/>
        <v>0</v>
      </c>
      <c r="Q57" s="230">
        <v>0</v>
      </c>
      <c r="R57" s="43">
        <f t="shared" si="17"/>
        <v>0</v>
      </c>
      <c r="S57" s="200"/>
      <c r="T57" s="36"/>
      <c r="U57" s="210">
        <f t="shared" si="5"/>
        <v>0</v>
      </c>
      <c r="V57" s="36">
        <f t="shared" si="18"/>
        <v>0</v>
      </c>
      <c r="W57" s="36">
        <f t="shared" si="19"/>
        <v>0</v>
      </c>
      <c r="X57" s="230">
        <f t="shared" si="20"/>
        <v>0</v>
      </c>
      <c r="Y57" s="43">
        <f t="shared" si="20"/>
        <v>0</v>
      </c>
      <c r="Z57" s="47"/>
      <c r="AA57" s="47"/>
    </row>
    <row r="58" spans="1:27" s="118" customFormat="1" ht="9.9499999999999993" customHeight="1" x14ac:dyDescent="0.15">
      <c r="A58" s="142" t="s">
        <v>177</v>
      </c>
      <c r="B58" s="212">
        <f>SUM(B59:B65)</f>
        <v>2.1999999999999997</v>
      </c>
      <c r="C58" s="140">
        <f t="shared" si="15"/>
        <v>2012.1561553256522</v>
      </c>
      <c r="D58" s="41">
        <f t="shared" si="10"/>
        <v>2012156.1553256521</v>
      </c>
      <c r="E58" s="198">
        <f>SUM(E59:E65)</f>
        <v>823578.27</v>
      </c>
      <c r="F58" s="195">
        <f t="shared" si="1"/>
        <v>2427.6840000000002</v>
      </c>
      <c r="G58" s="191">
        <f t="shared" si="2"/>
        <v>2427684</v>
      </c>
      <c r="H58" s="33"/>
      <c r="I58" s="198">
        <f>SUM(I59:I65)</f>
        <v>1262200</v>
      </c>
      <c r="J58" s="231">
        <f>SUM(J59:J64)</f>
        <v>0</v>
      </c>
      <c r="K58" s="41">
        <f t="shared" si="11"/>
        <v>2427.6840000000002</v>
      </c>
      <c r="L58" s="198">
        <f>SUM(L59:L65)</f>
        <v>2427684</v>
      </c>
      <c r="M58" s="195">
        <f t="shared" si="3"/>
        <v>0</v>
      </c>
      <c r="N58" s="33">
        <f>N59+N60+N65</f>
        <v>0</v>
      </c>
      <c r="O58" s="41">
        <f t="shared" si="16"/>
        <v>-1177.2</v>
      </c>
      <c r="P58" s="191">
        <f t="shared" si="4"/>
        <v>1177200</v>
      </c>
      <c r="Q58" s="231">
        <f>SUM(Q59:Q64)</f>
        <v>0</v>
      </c>
      <c r="R58" s="41">
        <f t="shared" si="17"/>
        <v>-1177.2</v>
      </c>
      <c r="S58" s="198">
        <f>SUM(S59:S65)</f>
        <v>1177200</v>
      </c>
      <c r="T58" s="33">
        <f>SUM(T59:T65)</f>
        <v>0</v>
      </c>
      <c r="U58" s="210">
        <f t="shared" si="5"/>
        <v>1188577.8853256521</v>
      </c>
      <c r="V58" s="33">
        <f t="shared" si="18"/>
        <v>2012.1561553256522</v>
      </c>
      <c r="W58" s="33">
        <f t="shared" si="19"/>
        <v>1250.4840000000002</v>
      </c>
      <c r="X58" s="231">
        <f t="shared" si="20"/>
        <v>0</v>
      </c>
      <c r="Y58" s="41">
        <f t="shared" si="20"/>
        <v>1250.4840000000002</v>
      </c>
      <c r="Z58" s="47"/>
      <c r="AA58" s="47"/>
    </row>
    <row r="59" spans="1:27" s="117" customFormat="1" ht="9.9499999999999993" customHeight="1" x14ac:dyDescent="0.15">
      <c r="A59" s="144" t="s">
        <v>178</v>
      </c>
      <c r="B59" s="215">
        <v>0.75</v>
      </c>
      <c r="C59" s="145">
        <f t="shared" si="15"/>
        <v>427.26225636101782</v>
      </c>
      <c r="D59" s="41">
        <f t="shared" si="10"/>
        <v>427262.25636101782</v>
      </c>
      <c r="E59" s="200">
        <v>22065.25</v>
      </c>
      <c r="F59" s="196">
        <f t="shared" si="1"/>
        <v>417.32400000000001</v>
      </c>
      <c r="G59" s="191">
        <f t="shared" si="2"/>
        <v>417324</v>
      </c>
      <c r="H59" s="33"/>
      <c r="I59" s="200">
        <v>20000</v>
      </c>
      <c r="J59" s="230"/>
      <c r="K59" s="43">
        <f t="shared" si="11"/>
        <v>417.32400000000001</v>
      </c>
      <c r="L59" s="200">
        <v>417324</v>
      </c>
      <c r="M59" s="196">
        <f t="shared" si="3"/>
        <v>0</v>
      </c>
      <c r="N59" s="36"/>
      <c r="O59" s="43">
        <f t="shared" si="16"/>
        <v>0</v>
      </c>
      <c r="P59" s="191">
        <f>S59</f>
        <v>0</v>
      </c>
      <c r="Q59" s="230">
        <v>0</v>
      </c>
      <c r="R59" s="43">
        <f t="shared" si="17"/>
        <v>0</v>
      </c>
      <c r="S59" s="200"/>
      <c r="T59" s="36"/>
      <c r="U59" s="210">
        <f t="shared" si="5"/>
        <v>405197.00636101782</v>
      </c>
      <c r="V59" s="36">
        <f t="shared" si="18"/>
        <v>427.26225636101782</v>
      </c>
      <c r="W59" s="36">
        <f t="shared" si="19"/>
        <v>417.32400000000001</v>
      </c>
      <c r="X59" s="230">
        <f t="shared" si="20"/>
        <v>0</v>
      </c>
      <c r="Y59" s="43">
        <f t="shared" si="20"/>
        <v>417.32400000000001</v>
      </c>
      <c r="Z59" s="47"/>
      <c r="AA59" s="47"/>
    </row>
    <row r="60" spans="1:27" s="117" customFormat="1" ht="9.9499999999999993" customHeight="1" x14ac:dyDescent="0.15">
      <c r="A60" s="144" t="s">
        <v>179</v>
      </c>
      <c r="B60" s="215">
        <v>0.1</v>
      </c>
      <c r="C60" s="145">
        <f t="shared" si="15"/>
        <v>54.026267514802377</v>
      </c>
      <c r="D60" s="41">
        <f t="shared" si="10"/>
        <v>54026.267514802377</v>
      </c>
      <c r="E60" s="200"/>
      <c r="F60" s="196">
        <f t="shared" si="1"/>
        <v>202.977</v>
      </c>
      <c r="G60" s="191">
        <f t="shared" si="2"/>
        <v>202977</v>
      </c>
      <c r="H60" s="33"/>
      <c r="I60" s="200">
        <v>150000</v>
      </c>
      <c r="J60" s="230"/>
      <c r="K60" s="43">
        <f t="shared" si="11"/>
        <v>202.977</v>
      </c>
      <c r="L60" s="200">
        <v>202977</v>
      </c>
      <c r="M60" s="196">
        <f t="shared" si="3"/>
        <v>0</v>
      </c>
      <c r="N60" s="36"/>
      <c r="O60" s="43">
        <f t="shared" si="16"/>
        <v>-150</v>
      </c>
      <c r="P60" s="191">
        <f t="shared" si="4"/>
        <v>150000</v>
      </c>
      <c r="Q60" s="230">
        <v>0</v>
      </c>
      <c r="R60" s="43">
        <f t="shared" si="17"/>
        <v>-150</v>
      </c>
      <c r="S60" s="200">
        <v>150000</v>
      </c>
      <c r="T60" s="36"/>
      <c r="U60" s="210">
        <f t="shared" si="5"/>
        <v>54026.267514802377</v>
      </c>
      <c r="V60" s="36">
        <f t="shared" si="18"/>
        <v>54.026267514802377</v>
      </c>
      <c r="W60" s="36">
        <f t="shared" si="19"/>
        <v>52.977000000000004</v>
      </c>
      <c r="X60" s="230">
        <f t="shared" si="20"/>
        <v>0</v>
      </c>
      <c r="Y60" s="43">
        <f t="shared" si="20"/>
        <v>52.977000000000004</v>
      </c>
      <c r="Z60" s="47"/>
      <c r="AA60" s="47"/>
    </row>
    <row r="61" spans="1:27" s="117" customFormat="1" ht="9.9499999999999993" customHeight="1" x14ac:dyDescent="0.15">
      <c r="A61" s="144" t="s">
        <v>180</v>
      </c>
      <c r="B61" s="215">
        <v>0.65</v>
      </c>
      <c r="C61" s="145">
        <f t="shared" si="15"/>
        <v>1127.5385188462155</v>
      </c>
      <c r="D61" s="41">
        <f t="shared" si="10"/>
        <v>1127538.5188462154</v>
      </c>
      <c r="E61" s="200">
        <v>776367.78</v>
      </c>
      <c r="F61" s="196">
        <f t="shared" si="1"/>
        <v>1131.547</v>
      </c>
      <c r="G61" s="191">
        <f t="shared" si="2"/>
        <v>1131547</v>
      </c>
      <c r="H61" s="33"/>
      <c r="I61" s="200">
        <v>787200</v>
      </c>
      <c r="J61" s="230"/>
      <c r="K61" s="43">
        <f t="shared" si="11"/>
        <v>1131.547</v>
      </c>
      <c r="L61" s="200">
        <v>1131547</v>
      </c>
      <c r="M61" s="196">
        <f t="shared" si="3"/>
        <v>0</v>
      </c>
      <c r="N61" s="36"/>
      <c r="O61" s="43">
        <f t="shared" si="16"/>
        <v>-777.2</v>
      </c>
      <c r="P61" s="191">
        <f t="shared" si="4"/>
        <v>777200</v>
      </c>
      <c r="Q61" s="230"/>
      <c r="R61" s="43">
        <f t="shared" si="17"/>
        <v>-777.2</v>
      </c>
      <c r="S61" s="200">
        <v>777200</v>
      </c>
      <c r="T61" s="36"/>
      <c r="U61" s="210">
        <f t="shared" si="5"/>
        <v>351170.73884621548</v>
      </c>
      <c r="V61" s="36">
        <f t="shared" si="18"/>
        <v>1127.5385188462155</v>
      </c>
      <c r="W61" s="36">
        <f t="shared" si="19"/>
        <v>354.34699999999998</v>
      </c>
      <c r="X61" s="230">
        <f t="shared" si="20"/>
        <v>0</v>
      </c>
      <c r="Y61" s="43">
        <f t="shared" si="20"/>
        <v>354.34699999999998</v>
      </c>
      <c r="Z61" s="47"/>
      <c r="AA61" s="47"/>
    </row>
    <row r="62" spans="1:27" s="117" customFormat="1" ht="9.75" customHeight="1" x14ac:dyDescent="0.15">
      <c r="A62" s="144" t="s">
        <v>181</v>
      </c>
      <c r="B62" s="215">
        <v>0.2</v>
      </c>
      <c r="C62" s="145">
        <f t="shared" si="15"/>
        <v>115.73614502960476</v>
      </c>
      <c r="D62" s="41">
        <f t="shared" si="10"/>
        <v>115736.14502960476</v>
      </c>
      <c r="E62" s="200">
        <v>7683.61</v>
      </c>
      <c r="F62" s="196">
        <f t="shared" si="1"/>
        <v>261.90600000000001</v>
      </c>
      <c r="G62" s="191">
        <f t="shared" si="2"/>
        <v>261906</v>
      </c>
      <c r="H62" s="33"/>
      <c r="I62" s="200">
        <v>50000</v>
      </c>
      <c r="J62" s="230"/>
      <c r="K62" s="43">
        <f t="shared" si="11"/>
        <v>261.90600000000001</v>
      </c>
      <c r="L62" s="200">
        <v>261906</v>
      </c>
      <c r="M62" s="196">
        <f t="shared" si="3"/>
        <v>0</v>
      </c>
      <c r="N62" s="36"/>
      <c r="O62" s="43">
        <f t="shared" si="16"/>
        <v>0</v>
      </c>
      <c r="P62" s="191">
        <f t="shared" si="4"/>
        <v>0</v>
      </c>
      <c r="Q62" s="230"/>
      <c r="R62" s="43">
        <f t="shared" si="17"/>
        <v>0</v>
      </c>
      <c r="S62" s="200"/>
      <c r="T62" s="36"/>
      <c r="U62" s="210">
        <f t="shared" si="5"/>
        <v>108052.53502960475</v>
      </c>
      <c r="V62" s="36">
        <f t="shared" si="18"/>
        <v>115.73614502960476</v>
      </c>
      <c r="W62" s="36">
        <f t="shared" si="19"/>
        <v>261.90600000000001</v>
      </c>
      <c r="X62" s="230">
        <f t="shared" si="20"/>
        <v>0</v>
      </c>
      <c r="Y62" s="43">
        <f t="shared" si="20"/>
        <v>261.90600000000001</v>
      </c>
      <c r="Z62" s="47"/>
      <c r="AA62" s="47"/>
    </row>
    <row r="63" spans="1:27" s="117" customFormat="1" ht="9.9499999999999993" customHeight="1" x14ac:dyDescent="0.15">
      <c r="A63" s="144" t="s">
        <v>182</v>
      </c>
      <c r="B63" s="215">
        <v>0.2</v>
      </c>
      <c r="C63" s="145">
        <f t="shared" si="15"/>
        <v>108.05253502960475</v>
      </c>
      <c r="D63" s="41">
        <f t="shared" si="10"/>
        <v>108052.53502960475</v>
      </c>
      <c r="E63" s="200"/>
      <c r="F63" s="196">
        <f t="shared" si="1"/>
        <v>0</v>
      </c>
      <c r="G63" s="191">
        <f t="shared" si="2"/>
        <v>0</v>
      </c>
      <c r="H63" s="33"/>
      <c r="I63" s="200"/>
      <c r="J63" s="230"/>
      <c r="K63" s="43">
        <f t="shared" si="11"/>
        <v>0</v>
      </c>
      <c r="L63" s="200">
        <v>0</v>
      </c>
      <c r="M63" s="196">
        <f t="shared" si="3"/>
        <v>0</v>
      </c>
      <c r="N63" s="36"/>
      <c r="O63" s="43">
        <f t="shared" si="16"/>
        <v>0</v>
      </c>
      <c r="P63" s="191">
        <f t="shared" si="4"/>
        <v>0</v>
      </c>
      <c r="Q63" s="230"/>
      <c r="R63" s="43">
        <f t="shared" si="17"/>
        <v>0</v>
      </c>
      <c r="S63" s="200"/>
      <c r="T63" s="36"/>
      <c r="U63" s="210">
        <f t="shared" si="5"/>
        <v>108052.53502960475</v>
      </c>
      <c r="V63" s="36">
        <f t="shared" si="18"/>
        <v>108.05253502960475</v>
      </c>
      <c r="W63" s="36">
        <f t="shared" si="19"/>
        <v>0</v>
      </c>
      <c r="X63" s="230">
        <f t="shared" si="20"/>
        <v>0</v>
      </c>
      <c r="Y63" s="43">
        <f t="shared" si="20"/>
        <v>0</v>
      </c>
      <c r="Z63" s="47"/>
      <c r="AA63" s="47"/>
    </row>
    <row r="64" spans="1:27" s="117" customFormat="1" ht="9.9499999999999993" customHeight="1" x14ac:dyDescent="0.15">
      <c r="A64" s="144" t="s">
        <v>183</v>
      </c>
      <c r="B64" s="215">
        <v>0.3</v>
      </c>
      <c r="C64" s="145">
        <f t="shared" si="15"/>
        <v>179.54043254440711</v>
      </c>
      <c r="D64" s="41">
        <f t="shared" si="10"/>
        <v>179540.43254440711</v>
      </c>
      <c r="E64" s="200">
        <v>17461.63</v>
      </c>
      <c r="F64" s="196">
        <f t="shared" si="1"/>
        <v>413.93</v>
      </c>
      <c r="G64" s="191">
        <f t="shared" si="2"/>
        <v>413930</v>
      </c>
      <c r="H64" s="33"/>
      <c r="I64" s="200">
        <v>255000</v>
      </c>
      <c r="J64" s="230"/>
      <c r="K64" s="43">
        <f t="shared" si="11"/>
        <v>413.93</v>
      </c>
      <c r="L64" s="200">
        <v>413930</v>
      </c>
      <c r="M64" s="196">
        <f t="shared" si="3"/>
        <v>0</v>
      </c>
      <c r="N64" s="36"/>
      <c r="O64" s="43">
        <f t="shared" si="16"/>
        <v>-250</v>
      </c>
      <c r="P64" s="191">
        <f t="shared" si="4"/>
        <v>250000</v>
      </c>
      <c r="Q64" s="230">
        <v>0</v>
      </c>
      <c r="R64" s="43">
        <f t="shared" si="17"/>
        <v>-250</v>
      </c>
      <c r="S64" s="200">
        <v>250000</v>
      </c>
      <c r="T64" s="36"/>
      <c r="U64" s="210">
        <f t="shared" si="5"/>
        <v>162078.80254440711</v>
      </c>
      <c r="V64" s="36">
        <f t="shared" si="18"/>
        <v>179.54043254440711</v>
      </c>
      <c r="W64" s="36">
        <f t="shared" si="19"/>
        <v>163.93</v>
      </c>
      <c r="X64" s="230">
        <f t="shared" si="20"/>
        <v>0</v>
      </c>
      <c r="Y64" s="43">
        <f t="shared" si="20"/>
        <v>163.93</v>
      </c>
      <c r="Z64" s="47"/>
      <c r="AA64" s="47"/>
    </row>
    <row r="65" spans="1:27" s="117" customFormat="1" ht="9.9499999999999993" hidden="1" customHeight="1" x14ac:dyDescent="0.15">
      <c r="A65" s="144"/>
      <c r="B65" s="215"/>
      <c r="C65" s="145">
        <f t="shared" si="15"/>
        <v>0</v>
      </c>
      <c r="D65" s="41">
        <f t="shared" si="10"/>
        <v>0</v>
      </c>
      <c r="E65" s="200"/>
      <c r="F65" s="195">
        <f t="shared" si="1"/>
        <v>0</v>
      </c>
      <c r="G65" s="191">
        <f t="shared" si="2"/>
        <v>0</v>
      </c>
      <c r="H65" s="33"/>
      <c r="I65" s="200"/>
      <c r="J65" s="230"/>
      <c r="K65" s="43">
        <f t="shared" si="11"/>
        <v>0</v>
      </c>
      <c r="L65" s="200"/>
      <c r="M65" s="196">
        <f t="shared" si="3"/>
        <v>0</v>
      </c>
      <c r="N65" s="36"/>
      <c r="O65" s="43">
        <f t="shared" si="16"/>
        <v>0</v>
      </c>
      <c r="P65" s="191">
        <f t="shared" si="4"/>
        <v>0</v>
      </c>
      <c r="Q65" s="230">
        <v>0</v>
      </c>
      <c r="R65" s="43">
        <f t="shared" si="17"/>
        <v>0</v>
      </c>
      <c r="S65" s="200"/>
      <c r="T65" s="36"/>
      <c r="U65" s="210">
        <f t="shared" si="5"/>
        <v>0</v>
      </c>
      <c r="V65" s="36">
        <f t="shared" si="18"/>
        <v>0</v>
      </c>
      <c r="W65" s="36">
        <f t="shared" si="19"/>
        <v>0</v>
      </c>
      <c r="X65" s="230">
        <f t="shared" si="20"/>
        <v>0</v>
      </c>
      <c r="Y65" s="43">
        <f t="shared" si="20"/>
        <v>0</v>
      </c>
      <c r="Z65" s="47"/>
      <c r="AA65" s="47"/>
    </row>
    <row r="66" spans="1:27" s="118" customFormat="1" ht="9.9499999999999993" customHeight="1" x14ac:dyDescent="0.15">
      <c r="A66" s="142" t="s">
        <v>184</v>
      </c>
      <c r="B66" s="212">
        <f>SUM(B67:B68)</f>
        <v>0.2</v>
      </c>
      <c r="C66" s="140">
        <f t="shared" si="15"/>
        <v>146.25703502960474</v>
      </c>
      <c r="D66" s="41">
        <f t="shared" si="10"/>
        <v>146257.03502960474</v>
      </c>
      <c r="E66" s="198">
        <f>SUM(E67:E68)</f>
        <v>38204.5</v>
      </c>
      <c r="F66" s="195">
        <f t="shared" si="1"/>
        <v>105.953</v>
      </c>
      <c r="G66" s="191">
        <f t="shared" si="2"/>
        <v>105953</v>
      </c>
      <c r="H66" s="33"/>
      <c r="I66" s="198">
        <f>I67+I68</f>
        <v>0</v>
      </c>
      <c r="J66" s="231">
        <f>J67+J68</f>
        <v>0</v>
      </c>
      <c r="K66" s="41">
        <f t="shared" si="11"/>
        <v>105.953</v>
      </c>
      <c r="L66" s="198">
        <f>SUM(L67:L68)</f>
        <v>105953</v>
      </c>
      <c r="M66" s="195">
        <f t="shared" si="3"/>
        <v>0</v>
      </c>
      <c r="N66" s="33">
        <f>N67+N68</f>
        <v>0</v>
      </c>
      <c r="O66" s="41">
        <f t="shared" si="16"/>
        <v>0</v>
      </c>
      <c r="P66" s="191">
        <f t="shared" si="4"/>
        <v>0</v>
      </c>
      <c r="Q66" s="231">
        <v>0</v>
      </c>
      <c r="R66" s="41">
        <f t="shared" si="17"/>
        <v>0</v>
      </c>
      <c r="S66" s="198">
        <f>SUM(S67:S68)</f>
        <v>0</v>
      </c>
      <c r="T66" s="33">
        <f>T67</f>
        <v>0</v>
      </c>
      <c r="U66" s="210">
        <f t="shared" si="5"/>
        <v>108052.53502960475</v>
      </c>
      <c r="V66" s="33">
        <f t="shared" si="18"/>
        <v>146.25703502960474</v>
      </c>
      <c r="W66" s="33">
        <f>F66+O66</f>
        <v>105.953</v>
      </c>
      <c r="X66" s="231">
        <f t="shared" si="20"/>
        <v>0</v>
      </c>
      <c r="Y66" s="41">
        <f t="shared" si="20"/>
        <v>105.953</v>
      </c>
      <c r="Z66" s="47"/>
      <c r="AA66" s="47"/>
    </row>
    <row r="67" spans="1:27" s="117" customFormat="1" ht="9.9499999999999993" customHeight="1" x14ac:dyDescent="0.15">
      <c r="A67" s="144" t="s">
        <v>185</v>
      </c>
      <c r="B67" s="215">
        <v>0.2</v>
      </c>
      <c r="C67" s="145">
        <f t="shared" si="15"/>
        <v>146.25703502960474</v>
      </c>
      <c r="D67" s="41">
        <f t="shared" si="10"/>
        <v>146257.03502960474</v>
      </c>
      <c r="E67" s="200">
        <v>38204.5</v>
      </c>
      <c r="F67" s="196">
        <f t="shared" si="1"/>
        <v>105.953</v>
      </c>
      <c r="G67" s="191">
        <f t="shared" si="2"/>
        <v>105953</v>
      </c>
      <c r="H67" s="33"/>
      <c r="I67" s="200"/>
      <c r="J67" s="230"/>
      <c r="K67" s="43">
        <f t="shared" si="11"/>
        <v>105.953</v>
      </c>
      <c r="L67" s="200">
        <v>105953</v>
      </c>
      <c r="M67" s="196">
        <f t="shared" si="3"/>
        <v>0</v>
      </c>
      <c r="N67" s="36"/>
      <c r="O67" s="43">
        <f t="shared" si="16"/>
        <v>0</v>
      </c>
      <c r="P67" s="191">
        <f t="shared" si="4"/>
        <v>0</v>
      </c>
      <c r="Q67" s="230">
        <v>0</v>
      </c>
      <c r="R67" s="43">
        <f t="shared" si="17"/>
        <v>0</v>
      </c>
      <c r="S67" s="200"/>
      <c r="T67" s="36"/>
      <c r="U67" s="210">
        <f t="shared" si="5"/>
        <v>108052.53502960475</v>
      </c>
      <c r="V67" s="36">
        <f t="shared" si="18"/>
        <v>146.25703502960474</v>
      </c>
      <c r="W67" s="36">
        <f>F67+O67</f>
        <v>105.953</v>
      </c>
      <c r="X67" s="230">
        <f t="shared" si="20"/>
        <v>0</v>
      </c>
      <c r="Y67" s="43">
        <f t="shared" si="20"/>
        <v>105.953</v>
      </c>
      <c r="Z67" s="47"/>
      <c r="AA67" s="47"/>
    </row>
    <row r="68" spans="1:27" s="117" customFormat="1" ht="9.9499999999999993" hidden="1" customHeight="1" x14ac:dyDescent="0.15">
      <c r="A68" s="144"/>
      <c r="B68" s="215"/>
      <c r="C68" s="145">
        <f t="shared" si="15"/>
        <v>0</v>
      </c>
      <c r="D68" s="41">
        <f t="shared" si="10"/>
        <v>0</v>
      </c>
      <c r="E68" s="200"/>
      <c r="F68" s="195">
        <f t="shared" si="1"/>
        <v>0</v>
      </c>
      <c r="G68" s="191">
        <f t="shared" si="2"/>
        <v>0</v>
      </c>
      <c r="H68" s="33"/>
      <c r="I68" s="200"/>
      <c r="J68" s="230"/>
      <c r="K68" s="41">
        <f t="shared" si="11"/>
        <v>0</v>
      </c>
      <c r="L68" s="200"/>
      <c r="M68" s="195">
        <f t="shared" si="3"/>
        <v>0</v>
      </c>
      <c r="N68" s="36"/>
      <c r="O68" s="43">
        <f t="shared" si="16"/>
        <v>0</v>
      </c>
      <c r="P68" s="191">
        <f t="shared" si="4"/>
        <v>0</v>
      </c>
      <c r="Q68" s="230">
        <v>0</v>
      </c>
      <c r="R68" s="43">
        <f t="shared" si="17"/>
        <v>0</v>
      </c>
      <c r="S68" s="200"/>
      <c r="T68" s="36"/>
      <c r="U68" s="210">
        <f t="shared" si="5"/>
        <v>0</v>
      </c>
      <c r="V68" s="36">
        <f t="shared" si="18"/>
        <v>0</v>
      </c>
      <c r="W68" s="36">
        <f>F68+O68</f>
        <v>0</v>
      </c>
      <c r="X68" s="230">
        <f t="shared" si="20"/>
        <v>0</v>
      </c>
      <c r="Y68" s="43">
        <f t="shared" si="20"/>
        <v>0</v>
      </c>
      <c r="Z68" s="47"/>
      <c r="AA68" s="47"/>
    </row>
    <row r="69" spans="1:27" s="118" customFormat="1" ht="9.9499999999999993" customHeight="1" x14ac:dyDescent="0.15">
      <c r="A69" s="142" t="s">
        <v>186</v>
      </c>
      <c r="B69" s="212">
        <f>SUM(B71:B73)</f>
        <v>2.35</v>
      </c>
      <c r="C69" s="140">
        <f t="shared" si="15"/>
        <v>2058.8477665978558</v>
      </c>
      <c r="D69" s="41">
        <f t="shared" si="10"/>
        <v>2058847.7665978558</v>
      </c>
      <c r="E69" s="198">
        <f>SUM(E70:E73)</f>
        <v>789230.48</v>
      </c>
      <c r="F69" s="195">
        <f t="shared" si="1"/>
        <v>1996.183</v>
      </c>
      <c r="G69" s="191">
        <f t="shared" si="2"/>
        <v>1996183</v>
      </c>
      <c r="H69" s="33"/>
      <c r="I69" s="198">
        <f>SUM(I70:I73)</f>
        <v>751235</v>
      </c>
      <c r="J69" s="231">
        <f>SUM(J70:J73)</f>
        <v>0</v>
      </c>
      <c r="K69" s="41">
        <f t="shared" si="11"/>
        <v>1996.183</v>
      </c>
      <c r="L69" s="198">
        <f>SUM(L70:L73)</f>
        <v>1996183</v>
      </c>
      <c r="M69" s="195">
        <f t="shared" si="3"/>
        <v>0</v>
      </c>
      <c r="N69" s="33">
        <f>N71+N72</f>
        <v>0</v>
      </c>
      <c r="O69" s="41">
        <f t="shared" si="16"/>
        <v>-1261</v>
      </c>
      <c r="P69" s="191">
        <f t="shared" si="4"/>
        <v>1261000</v>
      </c>
      <c r="Q69" s="231">
        <f>SUM(Q70:Q73)</f>
        <v>0</v>
      </c>
      <c r="R69" s="41">
        <f t="shared" si="17"/>
        <v>-1261</v>
      </c>
      <c r="S69" s="198">
        <f>S71+S72+S73</f>
        <v>1261000</v>
      </c>
      <c r="T69" s="33">
        <f>SUM(T70:T73)</f>
        <v>0</v>
      </c>
      <c r="U69" s="210">
        <f t="shared" si="5"/>
        <v>1269617.2865978559</v>
      </c>
      <c r="V69" s="33">
        <f t="shared" si="18"/>
        <v>2058.8477665978558</v>
      </c>
      <c r="W69" s="33">
        <f>F69+O69</f>
        <v>735.18299999999999</v>
      </c>
      <c r="X69" s="231">
        <f t="shared" si="20"/>
        <v>0</v>
      </c>
      <c r="Y69" s="41">
        <f t="shared" si="20"/>
        <v>735.18299999999999</v>
      </c>
      <c r="Z69" s="47"/>
      <c r="AA69" s="47"/>
    </row>
    <row r="70" spans="1:27" s="118" customFormat="1" ht="9.9499999999999993" customHeight="1" x14ac:dyDescent="0.15">
      <c r="A70" s="144" t="s">
        <v>187</v>
      </c>
      <c r="B70" s="215">
        <v>0</v>
      </c>
      <c r="C70" s="145">
        <f>D70/1000</f>
        <v>0</v>
      </c>
      <c r="D70" s="41">
        <f t="shared" si="10"/>
        <v>0</v>
      </c>
      <c r="E70" s="198"/>
      <c r="F70" s="196">
        <f t="shared" si="1"/>
        <v>0</v>
      </c>
      <c r="G70" s="191">
        <f t="shared" si="2"/>
        <v>0</v>
      </c>
      <c r="H70" s="33"/>
      <c r="I70" s="198"/>
      <c r="J70" s="231"/>
      <c r="K70" s="43">
        <f t="shared" si="11"/>
        <v>0</v>
      </c>
      <c r="L70" s="198"/>
      <c r="M70" s="196">
        <f t="shared" si="3"/>
        <v>0</v>
      </c>
      <c r="N70" s="33"/>
      <c r="O70" s="41"/>
      <c r="P70" s="191">
        <f t="shared" si="4"/>
        <v>0</v>
      </c>
      <c r="Q70" s="231"/>
      <c r="R70" s="41"/>
      <c r="S70" s="198"/>
      <c r="T70" s="33"/>
      <c r="U70" s="210">
        <f t="shared" si="5"/>
        <v>0</v>
      </c>
      <c r="V70" s="36">
        <f t="shared" si="18"/>
        <v>0</v>
      </c>
      <c r="W70" s="33"/>
      <c r="X70" s="231"/>
      <c r="Y70" s="41"/>
      <c r="Z70" s="47"/>
      <c r="AA70" s="47"/>
    </row>
    <row r="71" spans="1:27" s="117" customFormat="1" ht="9.9499999999999993" customHeight="1" x14ac:dyDescent="0.15">
      <c r="A71" s="144" t="s">
        <v>190</v>
      </c>
      <c r="B71" s="215">
        <v>1</v>
      </c>
      <c r="C71" s="145">
        <f t="shared" si="15"/>
        <v>638.81126514802372</v>
      </c>
      <c r="D71" s="41">
        <f t="shared" si="10"/>
        <v>638811.26514802373</v>
      </c>
      <c r="E71" s="200">
        <v>98548.59</v>
      </c>
      <c r="F71" s="196">
        <f t="shared" si="1"/>
        <v>529.76499999999999</v>
      </c>
      <c r="G71" s="191">
        <f t="shared" si="2"/>
        <v>529765</v>
      </c>
      <c r="H71" s="33"/>
      <c r="I71" s="200"/>
      <c r="J71" s="230"/>
      <c r="K71" s="43">
        <f t="shared" si="11"/>
        <v>529.76499999999999</v>
      </c>
      <c r="L71" s="200">
        <v>529765</v>
      </c>
      <c r="M71" s="196">
        <f t="shared" si="3"/>
        <v>0</v>
      </c>
      <c r="N71" s="36"/>
      <c r="O71" s="43">
        <f t="shared" si="16"/>
        <v>0</v>
      </c>
      <c r="P71" s="191">
        <f t="shared" si="4"/>
        <v>0</v>
      </c>
      <c r="Q71" s="230"/>
      <c r="R71" s="43">
        <f t="shared" si="17"/>
        <v>0</v>
      </c>
      <c r="S71" s="200"/>
      <c r="T71" s="36"/>
      <c r="U71" s="210">
        <f t="shared" si="5"/>
        <v>540262.67514802376</v>
      </c>
      <c r="V71" s="36">
        <f t="shared" si="18"/>
        <v>638.81126514802372</v>
      </c>
      <c r="W71" s="36">
        <f t="shared" ref="W71:W92" si="21">F71+O71</f>
        <v>529.76499999999999</v>
      </c>
      <c r="X71" s="230">
        <f t="shared" si="20"/>
        <v>0</v>
      </c>
      <c r="Y71" s="43">
        <f t="shared" si="20"/>
        <v>529.76499999999999</v>
      </c>
      <c r="Z71" s="47"/>
      <c r="AA71" s="47"/>
    </row>
    <row r="72" spans="1:27" s="117" customFormat="1" ht="9.9499999999999993" customHeight="1" x14ac:dyDescent="0.15">
      <c r="A72" s="144" t="s">
        <v>188</v>
      </c>
      <c r="B72" s="215">
        <v>1</v>
      </c>
      <c r="C72" s="145">
        <f t="shared" si="15"/>
        <v>1143.1363451480238</v>
      </c>
      <c r="D72" s="41">
        <f t="shared" si="10"/>
        <v>1143136.3451480237</v>
      </c>
      <c r="E72" s="200">
        <v>602873.67000000004</v>
      </c>
      <c r="F72" s="196">
        <f t="shared" si="1"/>
        <v>1166</v>
      </c>
      <c r="G72" s="191">
        <f t="shared" si="2"/>
        <v>1166000</v>
      </c>
      <c r="H72" s="33"/>
      <c r="I72" s="200">
        <f>3000+2000+400000+61235+170000</f>
        <v>636235</v>
      </c>
      <c r="J72" s="230"/>
      <c r="K72" s="43">
        <f t="shared" si="11"/>
        <v>1166</v>
      </c>
      <c r="L72" s="200">
        <v>1166000</v>
      </c>
      <c r="M72" s="196">
        <f t="shared" si="3"/>
        <v>0</v>
      </c>
      <c r="N72" s="36"/>
      <c r="O72" s="43">
        <f t="shared" si="16"/>
        <v>-1166</v>
      </c>
      <c r="P72" s="191">
        <f t="shared" si="4"/>
        <v>1166000</v>
      </c>
      <c r="Q72" s="230"/>
      <c r="R72" s="43">
        <f t="shared" si="17"/>
        <v>-1166</v>
      </c>
      <c r="S72" s="200">
        <v>1166000</v>
      </c>
      <c r="T72" s="36"/>
      <c r="U72" s="210">
        <f t="shared" si="5"/>
        <v>540262.67514802376</v>
      </c>
      <c r="V72" s="36">
        <f t="shared" si="18"/>
        <v>1143.1363451480238</v>
      </c>
      <c r="W72" s="36">
        <f t="shared" si="21"/>
        <v>0</v>
      </c>
      <c r="X72" s="230">
        <f t="shared" si="20"/>
        <v>0</v>
      </c>
      <c r="Y72" s="43">
        <f t="shared" si="20"/>
        <v>0</v>
      </c>
      <c r="Z72" s="47"/>
      <c r="AA72" s="47"/>
    </row>
    <row r="73" spans="1:27" s="117" customFormat="1" ht="9.9499999999999993" customHeight="1" x14ac:dyDescent="0.15">
      <c r="A73" s="144" t="s">
        <v>189</v>
      </c>
      <c r="B73" s="215">
        <v>0.35</v>
      </c>
      <c r="C73" s="145">
        <f t="shared" si="15"/>
        <v>276.90015630180829</v>
      </c>
      <c r="D73" s="41">
        <f t="shared" si="10"/>
        <v>276900.15630180831</v>
      </c>
      <c r="E73" s="200">
        <v>87808.22</v>
      </c>
      <c r="F73" s="196">
        <f t="shared" si="1"/>
        <v>300.41800000000001</v>
      </c>
      <c r="G73" s="191">
        <f t="shared" si="2"/>
        <v>300418</v>
      </c>
      <c r="H73" s="33"/>
      <c r="I73" s="200">
        <f>5000+15000+70000+25000</f>
        <v>115000</v>
      </c>
      <c r="J73" s="230"/>
      <c r="K73" s="43">
        <f t="shared" si="11"/>
        <v>300.41800000000001</v>
      </c>
      <c r="L73" s="200">
        <v>300418</v>
      </c>
      <c r="M73" s="196">
        <f t="shared" si="3"/>
        <v>0</v>
      </c>
      <c r="N73" s="36"/>
      <c r="O73" s="43">
        <f t="shared" si="16"/>
        <v>-95</v>
      </c>
      <c r="P73" s="191">
        <f t="shared" si="4"/>
        <v>95000</v>
      </c>
      <c r="Q73" s="230"/>
      <c r="R73" s="43">
        <f t="shared" si="17"/>
        <v>-95</v>
      </c>
      <c r="S73" s="200">
        <v>95000</v>
      </c>
      <c r="T73" s="36"/>
      <c r="U73" s="210">
        <f t="shared" si="5"/>
        <v>189091.93630180831</v>
      </c>
      <c r="V73" s="36">
        <f t="shared" si="18"/>
        <v>276.90015630180829</v>
      </c>
      <c r="W73" s="36">
        <f t="shared" si="21"/>
        <v>205.41800000000001</v>
      </c>
      <c r="X73" s="230">
        <f t="shared" ref="X73:Y92" si="22">J73+Q73</f>
        <v>0</v>
      </c>
      <c r="Y73" s="43">
        <f t="shared" si="22"/>
        <v>205.41800000000001</v>
      </c>
      <c r="Z73" s="47"/>
      <c r="AA73" s="47"/>
    </row>
    <row r="74" spans="1:27" s="118" customFormat="1" ht="9.9499999999999993" customHeight="1" x14ac:dyDescent="0.15">
      <c r="A74" s="142" t="s">
        <v>191</v>
      </c>
      <c r="B74" s="212">
        <f>SUM(B75:B87)</f>
        <v>4.0600000000000005</v>
      </c>
      <c r="C74" s="140">
        <f t="shared" si="15"/>
        <v>2521.5477511009772</v>
      </c>
      <c r="D74" s="41">
        <f t="shared" si="10"/>
        <v>2521547.751100977</v>
      </c>
      <c r="E74" s="198">
        <f>SUM(E75:E87)</f>
        <v>328081.28999999998</v>
      </c>
      <c r="F74" s="195">
        <f t="shared" ref="F74:F137" si="23">G74/1000</f>
        <v>4790.8459999999995</v>
      </c>
      <c r="G74" s="191">
        <f t="shared" ref="G74:G137" si="24">L74</f>
        <v>4790846</v>
      </c>
      <c r="H74" s="33"/>
      <c r="I74" s="198">
        <f>I75+I76+I77+I78+I79+I80+I81+I82+I83+I84+I85+I86+I87</f>
        <v>2640000</v>
      </c>
      <c r="J74" s="231">
        <f>SUM(J75:J78)</f>
        <v>0</v>
      </c>
      <c r="K74" s="41">
        <f t="shared" si="11"/>
        <v>4790.8459999999995</v>
      </c>
      <c r="L74" s="198">
        <f>SUM(L75:L87)</f>
        <v>4790846</v>
      </c>
      <c r="M74" s="195">
        <f>T74/1000*-1</f>
        <v>0</v>
      </c>
      <c r="N74" s="33">
        <f>SUM(N75:N87)</f>
        <v>0</v>
      </c>
      <c r="O74" s="41">
        <f t="shared" si="16"/>
        <v>-2575</v>
      </c>
      <c r="P74" s="191">
        <f t="shared" ref="P74:P92" si="25">S74</f>
        <v>2575000</v>
      </c>
      <c r="Q74" s="231">
        <f>SUM(Q75:Q78)</f>
        <v>0</v>
      </c>
      <c r="R74" s="41">
        <f t="shared" si="17"/>
        <v>-2575</v>
      </c>
      <c r="S74" s="198">
        <f>SUM(S75:S87)</f>
        <v>2575000</v>
      </c>
      <c r="T74" s="33">
        <f>SUM(T75:T79)</f>
        <v>0</v>
      </c>
      <c r="U74" s="210">
        <f t="shared" ref="U74:U137" si="26">$U$8/$B$8*B74</f>
        <v>2193466.4611009769</v>
      </c>
      <c r="V74" s="33">
        <f t="shared" si="18"/>
        <v>2521.5477511009772</v>
      </c>
      <c r="W74" s="33">
        <f t="shared" si="21"/>
        <v>2215.8459999999995</v>
      </c>
      <c r="X74" s="231">
        <f t="shared" si="22"/>
        <v>0</v>
      </c>
      <c r="Y74" s="41">
        <f t="shared" si="22"/>
        <v>2215.8459999999995</v>
      </c>
      <c r="Z74" s="47"/>
      <c r="AA74" s="47"/>
    </row>
    <row r="75" spans="1:27" s="117" customFormat="1" ht="9.9499999999999993" customHeight="1" x14ac:dyDescent="0.15">
      <c r="A75" s="144" t="s">
        <v>192</v>
      </c>
      <c r="B75" s="215">
        <v>1.86</v>
      </c>
      <c r="C75" s="145">
        <f t="shared" si="15"/>
        <v>1332.9698657753243</v>
      </c>
      <c r="D75" s="41">
        <f t="shared" si="10"/>
        <v>1332969.8657753242</v>
      </c>
      <c r="E75" s="200">
        <v>328081.28999999998</v>
      </c>
      <c r="F75" s="196">
        <f t="shared" si="23"/>
        <v>1172.3630000000001</v>
      </c>
      <c r="G75" s="191">
        <f t="shared" si="24"/>
        <v>1172363</v>
      </c>
      <c r="H75" s="33"/>
      <c r="I75" s="200">
        <f>3000+3000+20000+90000+11000+10000+50000+25000-25000</f>
        <v>187000</v>
      </c>
      <c r="J75" s="230"/>
      <c r="K75" s="43">
        <f t="shared" si="11"/>
        <v>1172.3630000000001</v>
      </c>
      <c r="L75" s="200">
        <f>1197363-25000</f>
        <v>1172363</v>
      </c>
      <c r="M75" s="196">
        <f>T75/1000*-1</f>
        <v>0</v>
      </c>
      <c r="N75" s="36"/>
      <c r="O75" s="43">
        <f t="shared" si="16"/>
        <v>-100</v>
      </c>
      <c r="P75" s="191">
        <f t="shared" si="25"/>
        <v>100000</v>
      </c>
      <c r="Q75" s="230">
        <v>0</v>
      </c>
      <c r="R75" s="43">
        <f t="shared" si="17"/>
        <v>-100</v>
      </c>
      <c r="S75" s="200">
        <v>100000</v>
      </c>
      <c r="T75" s="36"/>
      <c r="U75" s="210">
        <f t="shared" si="26"/>
        <v>1004888.5757753243</v>
      </c>
      <c r="V75" s="36">
        <f t="shared" si="18"/>
        <v>1332.9698657753243</v>
      </c>
      <c r="W75" s="36">
        <f t="shared" si="21"/>
        <v>1072.3630000000001</v>
      </c>
      <c r="X75" s="230">
        <f t="shared" si="22"/>
        <v>0</v>
      </c>
      <c r="Y75" s="43">
        <f t="shared" si="22"/>
        <v>1072.3630000000001</v>
      </c>
      <c r="Z75" s="47"/>
      <c r="AA75" s="47"/>
    </row>
    <row r="76" spans="1:27" s="117" customFormat="1" ht="9.9499999999999993" customHeight="1" x14ac:dyDescent="0.15">
      <c r="A76" s="144" t="s">
        <v>193</v>
      </c>
      <c r="B76" s="215">
        <v>1</v>
      </c>
      <c r="C76" s="145">
        <f t="shared" si="15"/>
        <v>540.26267514802373</v>
      </c>
      <c r="D76" s="41">
        <f t="shared" si="10"/>
        <v>540262.67514802376</v>
      </c>
      <c r="E76" s="200"/>
      <c r="F76" s="196">
        <f t="shared" si="23"/>
        <v>1899.7650000000001</v>
      </c>
      <c r="G76" s="191">
        <f t="shared" si="24"/>
        <v>1899765</v>
      </c>
      <c r="H76" s="33"/>
      <c r="I76" s="200">
        <f>5000+5000+20000+1000000+330000+10000</f>
        <v>1370000</v>
      </c>
      <c r="J76" s="230"/>
      <c r="K76" s="43">
        <f t="shared" si="11"/>
        <v>1899.7650000000001</v>
      </c>
      <c r="L76" s="200">
        <v>1899765</v>
      </c>
      <c r="M76" s="196">
        <f>T76/1000*-1</f>
        <v>0</v>
      </c>
      <c r="N76" s="36"/>
      <c r="O76" s="43">
        <f t="shared" si="16"/>
        <v>-1400</v>
      </c>
      <c r="P76" s="191">
        <f t="shared" si="25"/>
        <v>1400000</v>
      </c>
      <c r="Q76" s="230"/>
      <c r="R76" s="43">
        <f t="shared" si="17"/>
        <v>-1400</v>
      </c>
      <c r="S76" s="200">
        <v>1400000</v>
      </c>
      <c r="T76" s="36"/>
      <c r="U76" s="210">
        <f t="shared" si="26"/>
        <v>540262.67514802376</v>
      </c>
      <c r="V76" s="36">
        <f t="shared" si="18"/>
        <v>540.26267514802373</v>
      </c>
      <c r="W76" s="36">
        <f t="shared" si="21"/>
        <v>499.7650000000001</v>
      </c>
      <c r="X76" s="230">
        <f t="shared" si="22"/>
        <v>0</v>
      </c>
      <c r="Y76" s="43">
        <f t="shared" si="22"/>
        <v>499.7650000000001</v>
      </c>
      <c r="Z76" s="47"/>
      <c r="AA76" s="47"/>
    </row>
    <row r="77" spans="1:27" s="117" customFormat="1" ht="9.9499999999999993" customHeight="1" x14ac:dyDescent="0.15">
      <c r="A77" s="144" t="s">
        <v>194</v>
      </c>
      <c r="B77" s="215">
        <v>0.6</v>
      </c>
      <c r="C77" s="145">
        <f t="shared" si="15"/>
        <v>324.15760508881419</v>
      </c>
      <c r="D77" s="41">
        <f t="shared" si="10"/>
        <v>324157.60508881422</v>
      </c>
      <c r="E77" s="200"/>
      <c r="F77" s="196">
        <f t="shared" si="23"/>
        <v>922.85900000000004</v>
      </c>
      <c r="G77" s="191">
        <f t="shared" si="24"/>
        <v>922859</v>
      </c>
      <c r="H77" s="33"/>
      <c r="I77" s="200">
        <f>5000+5000+10000+500000+75000+10000</f>
        <v>605000</v>
      </c>
      <c r="J77" s="230"/>
      <c r="K77" s="43">
        <f t="shared" si="11"/>
        <v>922.85900000000004</v>
      </c>
      <c r="L77" s="200">
        <v>922859</v>
      </c>
      <c r="M77" s="196">
        <f>T77/1000*-1</f>
        <v>0</v>
      </c>
      <c r="N77" s="36"/>
      <c r="O77" s="43">
        <f t="shared" si="16"/>
        <v>-575</v>
      </c>
      <c r="P77" s="191">
        <f t="shared" si="25"/>
        <v>575000</v>
      </c>
      <c r="Q77" s="230"/>
      <c r="R77" s="43">
        <f t="shared" si="17"/>
        <v>-575</v>
      </c>
      <c r="S77" s="200">
        <v>575000</v>
      </c>
      <c r="T77" s="36"/>
      <c r="U77" s="210">
        <f t="shared" si="26"/>
        <v>324157.60508881422</v>
      </c>
      <c r="V77" s="36">
        <f t="shared" si="18"/>
        <v>324.15760508881419</v>
      </c>
      <c r="W77" s="36">
        <f t="shared" si="21"/>
        <v>347.85900000000004</v>
      </c>
      <c r="X77" s="230">
        <f t="shared" si="22"/>
        <v>0</v>
      </c>
      <c r="Y77" s="43">
        <f t="shared" si="22"/>
        <v>347.85900000000004</v>
      </c>
      <c r="Z77" s="47"/>
      <c r="AA77" s="47"/>
    </row>
    <row r="78" spans="1:27" s="117" customFormat="1" ht="9.9499999999999993" customHeight="1" x14ac:dyDescent="0.15">
      <c r="A78" s="144" t="s">
        <v>195</v>
      </c>
      <c r="B78" s="215">
        <v>0.6</v>
      </c>
      <c r="C78" s="145">
        <f t="shared" si="15"/>
        <v>324.15760508881419</v>
      </c>
      <c r="D78" s="41">
        <f t="shared" si="10"/>
        <v>324157.60508881422</v>
      </c>
      <c r="E78" s="200"/>
      <c r="F78" s="196">
        <f t="shared" si="23"/>
        <v>795.85900000000004</v>
      </c>
      <c r="G78" s="191">
        <f t="shared" si="24"/>
        <v>795859</v>
      </c>
      <c r="H78" s="33"/>
      <c r="I78" s="200">
        <f>3000+5000+10000+400000+50000+10000</f>
        <v>478000</v>
      </c>
      <c r="J78" s="230"/>
      <c r="K78" s="43">
        <f t="shared" si="11"/>
        <v>795.85900000000004</v>
      </c>
      <c r="L78" s="200">
        <v>795859</v>
      </c>
      <c r="M78" s="196">
        <f t="shared" ref="M78:M128" si="27">T78/1000*-1</f>
        <v>0</v>
      </c>
      <c r="N78" s="36"/>
      <c r="O78" s="43">
        <f t="shared" si="16"/>
        <v>-500</v>
      </c>
      <c r="P78" s="191">
        <f t="shared" si="25"/>
        <v>500000</v>
      </c>
      <c r="Q78" s="230"/>
      <c r="R78" s="43">
        <f t="shared" si="17"/>
        <v>-500</v>
      </c>
      <c r="S78" s="200">
        <v>500000</v>
      </c>
      <c r="T78" s="36"/>
      <c r="U78" s="210">
        <f t="shared" si="26"/>
        <v>324157.60508881422</v>
      </c>
      <c r="V78" s="36">
        <f t="shared" si="18"/>
        <v>324.15760508881419</v>
      </c>
      <c r="W78" s="36">
        <f t="shared" si="21"/>
        <v>295.85900000000004</v>
      </c>
      <c r="X78" s="230">
        <f t="shared" si="22"/>
        <v>0</v>
      </c>
      <c r="Y78" s="43">
        <f t="shared" si="22"/>
        <v>295.85900000000004</v>
      </c>
      <c r="Z78" s="47"/>
      <c r="AA78" s="47"/>
    </row>
    <row r="79" spans="1:27" s="117" customFormat="1" ht="9.9499999999999993" hidden="1" customHeight="1" x14ac:dyDescent="0.15">
      <c r="A79" s="144"/>
      <c r="B79" s="215"/>
      <c r="C79" s="145">
        <f t="shared" si="15"/>
        <v>0</v>
      </c>
      <c r="D79" s="41">
        <f t="shared" si="10"/>
        <v>0</v>
      </c>
      <c r="E79" s="200"/>
      <c r="F79" s="195">
        <f t="shared" si="23"/>
        <v>0</v>
      </c>
      <c r="G79" s="191">
        <f t="shared" si="24"/>
        <v>0</v>
      </c>
      <c r="H79" s="33"/>
      <c r="I79" s="200"/>
      <c r="J79" s="230"/>
      <c r="K79" s="41">
        <f t="shared" si="11"/>
        <v>0</v>
      </c>
      <c r="L79" s="200"/>
      <c r="M79" s="195">
        <f t="shared" si="27"/>
        <v>0</v>
      </c>
      <c r="N79" s="36"/>
      <c r="O79" s="43">
        <f t="shared" si="16"/>
        <v>0</v>
      </c>
      <c r="P79" s="191">
        <f t="shared" si="25"/>
        <v>0</v>
      </c>
      <c r="Q79" s="230"/>
      <c r="R79" s="43">
        <f t="shared" si="17"/>
        <v>0</v>
      </c>
      <c r="S79" s="200"/>
      <c r="T79" s="36"/>
      <c r="U79" s="210">
        <f t="shared" si="26"/>
        <v>0</v>
      </c>
      <c r="V79" s="36">
        <f t="shared" si="18"/>
        <v>0</v>
      </c>
      <c r="W79" s="36">
        <f t="shared" si="21"/>
        <v>0</v>
      </c>
      <c r="X79" s="230">
        <f t="shared" si="22"/>
        <v>0</v>
      </c>
      <c r="Y79" s="43">
        <f t="shared" si="22"/>
        <v>0</v>
      </c>
      <c r="Z79" s="47"/>
      <c r="AA79" s="47"/>
    </row>
    <row r="80" spans="1:27" s="117" customFormat="1" ht="9.9499999999999993" hidden="1" customHeight="1" x14ac:dyDescent="0.15">
      <c r="A80" s="144"/>
      <c r="B80" s="215"/>
      <c r="C80" s="145">
        <f t="shared" si="15"/>
        <v>0</v>
      </c>
      <c r="D80" s="41">
        <f t="shared" si="10"/>
        <v>0</v>
      </c>
      <c r="E80" s="200"/>
      <c r="F80" s="195">
        <f t="shared" si="23"/>
        <v>0</v>
      </c>
      <c r="G80" s="191">
        <f t="shared" si="24"/>
        <v>0</v>
      </c>
      <c r="H80" s="33"/>
      <c r="I80" s="200"/>
      <c r="J80" s="230"/>
      <c r="K80" s="41">
        <f t="shared" si="11"/>
        <v>0</v>
      </c>
      <c r="L80" s="200"/>
      <c r="M80" s="195">
        <f t="shared" si="27"/>
        <v>0</v>
      </c>
      <c r="N80" s="36"/>
      <c r="O80" s="43">
        <f t="shared" si="16"/>
        <v>0</v>
      </c>
      <c r="P80" s="191">
        <f t="shared" si="25"/>
        <v>0</v>
      </c>
      <c r="Q80" s="230"/>
      <c r="R80" s="43">
        <f t="shared" si="17"/>
        <v>0</v>
      </c>
      <c r="S80" s="200"/>
      <c r="T80" s="36"/>
      <c r="U80" s="210">
        <f t="shared" si="26"/>
        <v>0</v>
      </c>
      <c r="V80" s="36">
        <f t="shared" si="18"/>
        <v>0</v>
      </c>
      <c r="W80" s="36">
        <f t="shared" si="21"/>
        <v>0</v>
      </c>
      <c r="X80" s="230">
        <f t="shared" si="22"/>
        <v>0</v>
      </c>
      <c r="Y80" s="43">
        <f t="shared" si="22"/>
        <v>0</v>
      </c>
      <c r="Z80" s="47"/>
      <c r="AA80" s="47"/>
    </row>
    <row r="81" spans="1:27" s="117" customFormat="1" ht="9.9499999999999993" hidden="1" customHeight="1" x14ac:dyDescent="0.15">
      <c r="A81" s="144"/>
      <c r="B81" s="215"/>
      <c r="C81" s="145">
        <f t="shared" si="15"/>
        <v>0</v>
      </c>
      <c r="D81" s="41">
        <f t="shared" si="10"/>
        <v>0</v>
      </c>
      <c r="E81" s="200"/>
      <c r="F81" s="195">
        <f t="shared" si="23"/>
        <v>0</v>
      </c>
      <c r="G81" s="191">
        <f t="shared" si="24"/>
        <v>0</v>
      </c>
      <c r="H81" s="33"/>
      <c r="I81" s="200"/>
      <c r="J81" s="230"/>
      <c r="K81" s="41">
        <f t="shared" si="11"/>
        <v>0</v>
      </c>
      <c r="L81" s="200"/>
      <c r="M81" s="195">
        <f t="shared" si="27"/>
        <v>0</v>
      </c>
      <c r="N81" s="36"/>
      <c r="O81" s="43">
        <f t="shared" si="16"/>
        <v>0</v>
      </c>
      <c r="P81" s="191">
        <f t="shared" si="25"/>
        <v>0</v>
      </c>
      <c r="Q81" s="230"/>
      <c r="R81" s="43">
        <f t="shared" si="17"/>
        <v>0</v>
      </c>
      <c r="S81" s="200"/>
      <c r="T81" s="36"/>
      <c r="U81" s="210">
        <f t="shared" si="26"/>
        <v>0</v>
      </c>
      <c r="V81" s="36">
        <f t="shared" si="18"/>
        <v>0</v>
      </c>
      <c r="W81" s="36">
        <f t="shared" si="21"/>
        <v>0</v>
      </c>
      <c r="X81" s="230">
        <f t="shared" si="22"/>
        <v>0</v>
      </c>
      <c r="Y81" s="43">
        <f t="shared" si="22"/>
        <v>0</v>
      </c>
      <c r="Z81" s="47"/>
      <c r="AA81" s="47"/>
    </row>
    <row r="82" spans="1:27" s="117" customFormat="1" ht="9.9499999999999993" hidden="1" customHeight="1" x14ac:dyDescent="0.15">
      <c r="A82" s="144"/>
      <c r="B82" s="215"/>
      <c r="C82" s="145">
        <f t="shared" si="15"/>
        <v>0</v>
      </c>
      <c r="D82" s="41">
        <f t="shared" si="10"/>
        <v>0</v>
      </c>
      <c r="E82" s="200"/>
      <c r="F82" s="195">
        <f t="shared" si="23"/>
        <v>0</v>
      </c>
      <c r="G82" s="191">
        <f t="shared" si="24"/>
        <v>0</v>
      </c>
      <c r="H82" s="33"/>
      <c r="I82" s="200"/>
      <c r="J82" s="230"/>
      <c r="K82" s="41">
        <f t="shared" si="11"/>
        <v>0</v>
      </c>
      <c r="L82" s="200"/>
      <c r="M82" s="195">
        <f t="shared" si="27"/>
        <v>0</v>
      </c>
      <c r="N82" s="36"/>
      <c r="O82" s="43">
        <f t="shared" si="16"/>
        <v>0</v>
      </c>
      <c r="P82" s="191">
        <f t="shared" si="25"/>
        <v>0</v>
      </c>
      <c r="Q82" s="230"/>
      <c r="R82" s="43">
        <f t="shared" si="17"/>
        <v>0</v>
      </c>
      <c r="S82" s="200"/>
      <c r="T82" s="36"/>
      <c r="U82" s="210">
        <f t="shared" si="26"/>
        <v>0</v>
      </c>
      <c r="V82" s="36">
        <f t="shared" si="18"/>
        <v>0</v>
      </c>
      <c r="W82" s="36">
        <f t="shared" si="21"/>
        <v>0</v>
      </c>
      <c r="X82" s="230">
        <f t="shared" si="22"/>
        <v>0</v>
      </c>
      <c r="Y82" s="43">
        <f t="shared" si="22"/>
        <v>0</v>
      </c>
      <c r="Z82" s="47"/>
      <c r="AA82" s="47"/>
    </row>
    <row r="83" spans="1:27" s="117" customFormat="1" ht="9.9499999999999993" hidden="1" customHeight="1" x14ac:dyDescent="0.15">
      <c r="A83" s="144"/>
      <c r="B83" s="215"/>
      <c r="C83" s="145">
        <f t="shared" si="15"/>
        <v>0</v>
      </c>
      <c r="D83" s="41">
        <f t="shared" si="10"/>
        <v>0</v>
      </c>
      <c r="E83" s="200"/>
      <c r="F83" s="195">
        <f t="shared" si="23"/>
        <v>0</v>
      </c>
      <c r="G83" s="191">
        <f t="shared" si="24"/>
        <v>0</v>
      </c>
      <c r="H83" s="33"/>
      <c r="I83" s="200">
        <v>0</v>
      </c>
      <c r="J83" s="230"/>
      <c r="K83" s="41">
        <f t="shared" si="11"/>
        <v>0</v>
      </c>
      <c r="L83" s="200"/>
      <c r="M83" s="195">
        <f t="shared" si="27"/>
        <v>0</v>
      </c>
      <c r="N83" s="36"/>
      <c r="O83" s="43">
        <f t="shared" si="16"/>
        <v>0</v>
      </c>
      <c r="P83" s="191">
        <f t="shared" si="25"/>
        <v>0</v>
      </c>
      <c r="Q83" s="230"/>
      <c r="R83" s="43">
        <f t="shared" si="17"/>
        <v>0</v>
      </c>
      <c r="S83" s="200"/>
      <c r="T83" s="36"/>
      <c r="U83" s="210">
        <f t="shared" si="26"/>
        <v>0</v>
      </c>
      <c r="V83" s="36">
        <f t="shared" si="18"/>
        <v>0</v>
      </c>
      <c r="W83" s="36">
        <f t="shared" si="21"/>
        <v>0</v>
      </c>
      <c r="X83" s="230">
        <f t="shared" si="22"/>
        <v>0</v>
      </c>
      <c r="Y83" s="43">
        <f t="shared" si="22"/>
        <v>0</v>
      </c>
      <c r="Z83" s="47"/>
      <c r="AA83" s="47"/>
    </row>
    <row r="84" spans="1:27" s="117" customFormat="1" ht="9.9499999999999993" hidden="1" customHeight="1" x14ac:dyDescent="0.15">
      <c r="A84" s="144"/>
      <c r="B84" s="215"/>
      <c r="C84" s="145">
        <f t="shared" si="15"/>
        <v>0</v>
      </c>
      <c r="D84" s="41">
        <f t="shared" si="10"/>
        <v>0</v>
      </c>
      <c r="E84" s="200"/>
      <c r="F84" s="195">
        <f t="shared" si="23"/>
        <v>0</v>
      </c>
      <c r="G84" s="191">
        <f t="shared" si="24"/>
        <v>0</v>
      </c>
      <c r="H84" s="33"/>
      <c r="I84" s="200">
        <v>0</v>
      </c>
      <c r="J84" s="230"/>
      <c r="K84" s="41">
        <f t="shared" si="11"/>
        <v>0</v>
      </c>
      <c r="L84" s="200"/>
      <c r="M84" s="195">
        <f t="shared" si="27"/>
        <v>0</v>
      </c>
      <c r="N84" s="36"/>
      <c r="O84" s="43">
        <f t="shared" si="16"/>
        <v>0</v>
      </c>
      <c r="P84" s="191">
        <f t="shared" si="25"/>
        <v>0</v>
      </c>
      <c r="Q84" s="230"/>
      <c r="R84" s="43">
        <f t="shared" si="17"/>
        <v>0</v>
      </c>
      <c r="S84" s="200"/>
      <c r="T84" s="36"/>
      <c r="U84" s="210">
        <f t="shared" si="26"/>
        <v>0</v>
      </c>
      <c r="V84" s="36">
        <f t="shared" si="18"/>
        <v>0</v>
      </c>
      <c r="W84" s="36">
        <f t="shared" si="21"/>
        <v>0</v>
      </c>
      <c r="X84" s="230">
        <f t="shared" si="22"/>
        <v>0</v>
      </c>
      <c r="Y84" s="43">
        <f t="shared" si="22"/>
        <v>0</v>
      </c>
      <c r="Z84" s="47"/>
      <c r="AA84" s="47"/>
    </row>
    <row r="85" spans="1:27" s="117" customFormat="1" ht="9.9499999999999993" hidden="1" customHeight="1" x14ac:dyDescent="0.15">
      <c r="A85" s="144"/>
      <c r="B85" s="215"/>
      <c r="C85" s="145">
        <f t="shared" si="15"/>
        <v>0</v>
      </c>
      <c r="D85" s="41">
        <f t="shared" si="10"/>
        <v>0</v>
      </c>
      <c r="E85" s="200"/>
      <c r="F85" s="195">
        <f t="shared" si="23"/>
        <v>0</v>
      </c>
      <c r="G85" s="191">
        <f t="shared" si="24"/>
        <v>0</v>
      </c>
      <c r="H85" s="33"/>
      <c r="I85" s="200"/>
      <c r="J85" s="230"/>
      <c r="K85" s="41">
        <f t="shared" si="11"/>
        <v>0</v>
      </c>
      <c r="L85" s="200"/>
      <c r="M85" s="195">
        <f t="shared" si="27"/>
        <v>0</v>
      </c>
      <c r="N85" s="36"/>
      <c r="O85" s="43">
        <f t="shared" si="16"/>
        <v>0</v>
      </c>
      <c r="P85" s="191">
        <f t="shared" si="25"/>
        <v>0</v>
      </c>
      <c r="Q85" s="230"/>
      <c r="R85" s="43">
        <f t="shared" si="17"/>
        <v>0</v>
      </c>
      <c r="S85" s="200"/>
      <c r="T85" s="36"/>
      <c r="U85" s="210">
        <f t="shared" si="26"/>
        <v>0</v>
      </c>
      <c r="V85" s="36">
        <f t="shared" si="18"/>
        <v>0</v>
      </c>
      <c r="W85" s="36">
        <f t="shared" si="21"/>
        <v>0</v>
      </c>
      <c r="X85" s="230">
        <f t="shared" si="22"/>
        <v>0</v>
      </c>
      <c r="Y85" s="43">
        <f t="shared" si="22"/>
        <v>0</v>
      </c>
      <c r="Z85" s="47"/>
      <c r="AA85" s="47"/>
    </row>
    <row r="86" spans="1:27" s="117" customFormat="1" ht="9.9499999999999993" hidden="1" customHeight="1" x14ac:dyDescent="0.15">
      <c r="A86" s="144"/>
      <c r="B86" s="215"/>
      <c r="C86" s="145">
        <f t="shared" si="15"/>
        <v>0</v>
      </c>
      <c r="D86" s="41">
        <f t="shared" si="10"/>
        <v>0</v>
      </c>
      <c r="E86" s="200"/>
      <c r="F86" s="195">
        <f t="shared" si="23"/>
        <v>0</v>
      </c>
      <c r="G86" s="191">
        <f t="shared" si="24"/>
        <v>0</v>
      </c>
      <c r="H86" s="33"/>
      <c r="I86" s="200"/>
      <c r="J86" s="230"/>
      <c r="K86" s="41">
        <f t="shared" si="11"/>
        <v>0</v>
      </c>
      <c r="L86" s="200"/>
      <c r="M86" s="195">
        <f t="shared" si="27"/>
        <v>0</v>
      </c>
      <c r="N86" s="36"/>
      <c r="O86" s="43">
        <f t="shared" si="16"/>
        <v>0</v>
      </c>
      <c r="P86" s="191">
        <f t="shared" si="25"/>
        <v>0</v>
      </c>
      <c r="Q86" s="230"/>
      <c r="R86" s="43">
        <f t="shared" si="17"/>
        <v>0</v>
      </c>
      <c r="S86" s="200"/>
      <c r="T86" s="36"/>
      <c r="U86" s="210">
        <f t="shared" si="26"/>
        <v>0</v>
      </c>
      <c r="V86" s="36">
        <f t="shared" si="18"/>
        <v>0</v>
      </c>
      <c r="W86" s="36">
        <f t="shared" si="21"/>
        <v>0</v>
      </c>
      <c r="X86" s="230">
        <f t="shared" si="22"/>
        <v>0</v>
      </c>
      <c r="Y86" s="43">
        <f t="shared" si="22"/>
        <v>0</v>
      </c>
      <c r="Z86" s="47"/>
      <c r="AA86" s="47"/>
    </row>
    <row r="87" spans="1:27" s="117" customFormat="1" ht="9.9499999999999993" hidden="1" customHeight="1" x14ac:dyDescent="0.15">
      <c r="A87" s="144"/>
      <c r="B87" s="215"/>
      <c r="C87" s="145">
        <f t="shared" si="15"/>
        <v>0</v>
      </c>
      <c r="D87" s="41">
        <f t="shared" si="10"/>
        <v>0</v>
      </c>
      <c r="E87" s="200"/>
      <c r="F87" s="195">
        <f t="shared" si="23"/>
        <v>0</v>
      </c>
      <c r="G87" s="191">
        <f t="shared" si="24"/>
        <v>0</v>
      </c>
      <c r="H87" s="33"/>
      <c r="I87" s="200">
        <v>0</v>
      </c>
      <c r="J87" s="230"/>
      <c r="K87" s="41">
        <f t="shared" si="11"/>
        <v>0</v>
      </c>
      <c r="L87" s="200"/>
      <c r="M87" s="195">
        <f t="shared" si="27"/>
        <v>0</v>
      </c>
      <c r="N87" s="36"/>
      <c r="O87" s="43">
        <f t="shared" si="16"/>
        <v>0</v>
      </c>
      <c r="P87" s="191">
        <f t="shared" si="25"/>
        <v>0</v>
      </c>
      <c r="Q87" s="230"/>
      <c r="R87" s="43">
        <f t="shared" si="17"/>
        <v>0</v>
      </c>
      <c r="S87" s="200"/>
      <c r="T87" s="36"/>
      <c r="U87" s="210">
        <f t="shared" si="26"/>
        <v>0</v>
      </c>
      <c r="V87" s="36">
        <f t="shared" si="18"/>
        <v>0</v>
      </c>
      <c r="W87" s="36">
        <f t="shared" si="21"/>
        <v>0</v>
      </c>
      <c r="X87" s="230">
        <f t="shared" si="22"/>
        <v>0</v>
      </c>
      <c r="Y87" s="43">
        <f t="shared" si="22"/>
        <v>0</v>
      </c>
      <c r="Z87" s="47"/>
      <c r="AA87" s="47"/>
    </row>
    <row r="88" spans="1:27" s="118" customFormat="1" ht="9.9499999999999993" customHeight="1" x14ac:dyDescent="0.15">
      <c r="A88" s="142" t="s">
        <v>236</v>
      </c>
      <c r="B88" s="212">
        <f>SUM(B89:B92)</f>
        <v>1.2999999999999998</v>
      </c>
      <c r="C88" s="140">
        <f t="shared" si="15"/>
        <v>702.34147769243089</v>
      </c>
      <c r="D88" s="41">
        <f t="shared" si="10"/>
        <v>702341.47769243084</v>
      </c>
      <c r="E88" s="198">
        <f>SUM(E89:E92)</f>
        <v>0</v>
      </c>
      <c r="F88" s="195">
        <f t="shared" si="23"/>
        <v>1843.6949999999999</v>
      </c>
      <c r="G88" s="191">
        <f t="shared" si="24"/>
        <v>1843695</v>
      </c>
      <c r="H88" s="33"/>
      <c r="I88" s="198">
        <f>SUM(I89:I93)</f>
        <v>1155000</v>
      </c>
      <c r="J88" s="231">
        <f>SUM(J89:J93)</f>
        <v>0</v>
      </c>
      <c r="K88" s="41">
        <f>L88/1000</f>
        <v>1843.6949999999999</v>
      </c>
      <c r="L88" s="198">
        <f>SUM(L89:L93)</f>
        <v>1843695</v>
      </c>
      <c r="M88" s="195">
        <f t="shared" si="27"/>
        <v>0</v>
      </c>
      <c r="N88" s="33"/>
      <c r="O88" s="41">
        <f t="shared" si="16"/>
        <v>-972.85900000000004</v>
      </c>
      <c r="P88" s="191">
        <f t="shared" si="25"/>
        <v>972859</v>
      </c>
      <c r="Q88" s="231">
        <f>SUM(Q89:Q92)</f>
        <v>0</v>
      </c>
      <c r="R88" s="41">
        <f t="shared" si="17"/>
        <v>-972.85900000000004</v>
      </c>
      <c r="S88" s="198">
        <f>SUM(S89:S93)</f>
        <v>972859</v>
      </c>
      <c r="T88" s="33">
        <f>SUM(T89:T92)</f>
        <v>0</v>
      </c>
      <c r="U88" s="210">
        <f t="shared" si="26"/>
        <v>702341.47769243084</v>
      </c>
      <c r="V88" s="33">
        <f t="shared" si="18"/>
        <v>702.34147769243089</v>
      </c>
      <c r="W88" s="33">
        <f t="shared" si="21"/>
        <v>870.8359999999999</v>
      </c>
      <c r="X88" s="231">
        <f t="shared" si="22"/>
        <v>0</v>
      </c>
      <c r="Y88" s="41">
        <f t="shared" si="22"/>
        <v>870.8359999999999</v>
      </c>
      <c r="Z88" s="47"/>
      <c r="AA88" s="47"/>
    </row>
    <row r="89" spans="1:27" s="117" customFormat="1" ht="9.9499999999999993" customHeight="1" x14ac:dyDescent="0.15">
      <c r="A89" s="144" t="s">
        <v>196</v>
      </c>
      <c r="B89" s="215">
        <v>0</v>
      </c>
      <c r="C89" s="145">
        <f t="shared" si="15"/>
        <v>0</v>
      </c>
      <c r="D89" s="41">
        <f t="shared" si="10"/>
        <v>0</v>
      </c>
      <c r="E89" s="200"/>
      <c r="F89" s="196">
        <f t="shared" si="23"/>
        <v>0</v>
      </c>
      <c r="G89" s="191">
        <f t="shared" si="24"/>
        <v>0</v>
      </c>
      <c r="H89" s="33"/>
      <c r="I89" s="200"/>
      <c r="J89" s="230"/>
      <c r="K89" s="43">
        <f t="shared" si="11"/>
        <v>0</v>
      </c>
      <c r="L89" s="200"/>
      <c r="M89" s="196">
        <f t="shared" si="27"/>
        <v>0</v>
      </c>
      <c r="N89" s="36"/>
      <c r="O89" s="43">
        <f t="shared" si="16"/>
        <v>0</v>
      </c>
      <c r="P89" s="191">
        <f t="shared" si="25"/>
        <v>0</v>
      </c>
      <c r="Q89" s="230">
        <v>0</v>
      </c>
      <c r="R89" s="43">
        <f t="shared" si="17"/>
        <v>0</v>
      </c>
      <c r="S89" s="200">
        <v>0</v>
      </c>
      <c r="T89" s="36"/>
      <c r="U89" s="210">
        <f t="shared" si="26"/>
        <v>0</v>
      </c>
      <c r="V89" s="36">
        <f t="shared" si="18"/>
        <v>0</v>
      </c>
      <c r="W89" s="36">
        <f t="shared" si="21"/>
        <v>0</v>
      </c>
      <c r="X89" s="230">
        <f t="shared" si="22"/>
        <v>0</v>
      </c>
      <c r="Y89" s="43">
        <f t="shared" si="22"/>
        <v>0</v>
      </c>
      <c r="Z89" s="47"/>
      <c r="AA89" s="47"/>
    </row>
    <row r="90" spans="1:27" s="117" customFormat="1" ht="9.9499999999999993" customHeight="1" x14ac:dyDescent="0.15">
      <c r="A90" s="144" t="s">
        <v>197</v>
      </c>
      <c r="B90" s="215">
        <v>0.6</v>
      </c>
      <c r="C90" s="145">
        <f t="shared" si="15"/>
        <v>324.15760508881419</v>
      </c>
      <c r="D90" s="41">
        <f t="shared" si="10"/>
        <v>324157.60508881422</v>
      </c>
      <c r="E90" s="200"/>
      <c r="F90" s="196">
        <f t="shared" si="23"/>
        <v>972.85900000000004</v>
      </c>
      <c r="G90" s="191">
        <f t="shared" si="24"/>
        <v>972859</v>
      </c>
      <c r="H90" s="33"/>
      <c r="I90" s="200">
        <f>10000+25000+20000+200000+400000</f>
        <v>655000</v>
      </c>
      <c r="J90" s="230"/>
      <c r="K90" s="43">
        <f t="shared" si="11"/>
        <v>972.85900000000004</v>
      </c>
      <c r="L90" s="200">
        <v>972859</v>
      </c>
      <c r="M90" s="196">
        <f t="shared" si="27"/>
        <v>0</v>
      </c>
      <c r="N90" s="36"/>
      <c r="O90" s="43">
        <f t="shared" si="16"/>
        <v>-972.85900000000004</v>
      </c>
      <c r="P90" s="191">
        <f t="shared" si="25"/>
        <v>972859</v>
      </c>
      <c r="Q90" s="230"/>
      <c r="R90" s="43">
        <f t="shared" si="17"/>
        <v>-972.85900000000004</v>
      </c>
      <c r="S90" s="200">
        <v>972859</v>
      </c>
      <c r="T90" s="36"/>
      <c r="U90" s="210">
        <f t="shared" si="26"/>
        <v>324157.60508881422</v>
      </c>
      <c r="V90" s="36">
        <f t="shared" si="18"/>
        <v>324.15760508881419</v>
      </c>
      <c r="W90" s="36">
        <f t="shared" si="21"/>
        <v>0</v>
      </c>
      <c r="X90" s="230">
        <f t="shared" si="22"/>
        <v>0</v>
      </c>
      <c r="Y90" s="43">
        <f t="shared" si="22"/>
        <v>0</v>
      </c>
      <c r="Z90" s="47"/>
      <c r="AA90" s="47"/>
    </row>
    <row r="91" spans="1:27" s="117" customFormat="1" ht="9.9499999999999993" customHeight="1" x14ac:dyDescent="0.15">
      <c r="A91" s="144" t="s">
        <v>198</v>
      </c>
      <c r="B91" s="215">
        <v>0.3</v>
      </c>
      <c r="C91" s="145">
        <f t="shared" si="15"/>
        <v>162.0788025444071</v>
      </c>
      <c r="D91" s="41">
        <f t="shared" ref="D91:D144" si="28">E91+U91</f>
        <v>162078.80254440711</v>
      </c>
      <c r="E91" s="200"/>
      <c r="F91" s="196">
        <f t="shared" si="23"/>
        <v>658.93</v>
      </c>
      <c r="G91" s="191">
        <f t="shared" si="24"/>
        <v>658930</v>
      </c>
      <c r="H91" s="33"/>
      <c r="I91" s="200">
        <v>500000</v>
      </c>
      <c r="J91" s="230"/>
      <c r="K91" s="43">
        <f t="shared" ref="K91:K145" si="29">L91/1000</f>
        <v>658.93</v>
      </c>
      <c r="L91" s="200">
        <v>658930</v>
      </c>
      <c r="M91" s="196">
        <f t="shared" si="27"/>
        <v>0</v>
      </c>
      <c r="N91" s="36"/>
      <c r="O91" s="43">
        <f t="shared" si="16"/>
        <v>0</v>
      </c>
      <c r="P91" s="191">
        <f t="shared" si="25"/>
        <v>0</v>
      </c>
      <c r="Q91" s="230"/>
      <c r="R91" s="43">
        <f t="shared" si="17"/>
        <v>0</v>
      </c>
      <c r="S91" s="200"/>
      <c r="T91" s="36"/>
      <c r="U91" s="210">
        <f t="shared" si="26"/>
        <v>162078.80254440711</v>
      </c>
      <c r="V91" s="36">
        <f t="shared" si="18"/>
        <v>162.0788025444071</v>
      </c>
      <c r="W91" s="36">
        <f t="shared" si="21"/>
        <v>658.93</v>
      </c>
      <c r="X91" s="230">
        <f t="shared" si="22"/>
        <v>0</v>
      </c>
      <c r="Y91" s="43">
        <f t="shared" si="22"/>
        <v>658.93</v>
      </c>
      <c r="Z91" s="47"/>
      <c r="AA91" s="47"/>
    </row>
    <row r="92" spans="1:27" s="117" customFormat="1" ht="9.9499999999999993" customHeight="1" x14ac:dyDescent="0.15">
      <c r="A92" s="144" t="s">
        <v>199</v>
      </c>
      <c r="B92" s="215">
        <v>0.4</v>
      </c>
      <c r="C92" s="145">
        <f t="shared" si="15"/>
        <v>216.10507005920951</v>
      </c>
      <c r="D92" s="41">
        <f t="shared" si="28"/>
        <v>216105.07005920951</v>
      </c>
      <c r="E92" s="200"/>
      <c r="F92" s="196">
        <f t="shared" si="23"/>
        <v>211.90600000000001</v>
      </c>
      <c r="G92" s="191">
        <f t="shared" si="24"/>
        <v>211906</v>
      </c>
      <c r="H92" s="33"/>
      <c r="I92" s="200"/>
      <c r="J92" s="230"/>
      <c r="K92" s="43">
        <f t="shared" si="29"/>
        <v>211.90600000000001</v>
      </c>
      <c r="L92" s="200">
        <v>211906</v>
      </c>
      <c r="M92" s="196">
        <f t="shared" si="27"/>
        <v>0</v>
      </c>
      <c r="N92" s="36"/>
      <c r="O92" s="43">
        <f t="shared" si="16"/>
        <v>0</v>
      </c>
      <c r="P92" s="191">
        <f t="shared" si="25"/>
        <v>0</v>
      </c>
      <c r="Q92" s="230"/>
      <c r="R92" s="43">
        <f t="shared" si="17"/>
        <v>0</v>
      </c>
      <c r="S92" s="200"/>
      <c r="T92" s="36"/>
      <c r="U92" s="210">
        <f t="shared" si="26"/>
        <v>216105.07005920951</v>
      </c>
      <c r="V92" s="36">
        <f t="shared" si="18"/>
        <v>216.10507005920951</v>
      </c>
      <c r="W92" s="36">
        <f t="shared" si="21"/>
        <v>211.90600000000001</v>
      </c>
      <c r="X92" s="230">
        <f t="shared" si="22"/>
        <v>0</v>
      </c>
      <c r="Y92" s="43">
        <f t="shared" si="22"/>
        <v>211.90600000000001</v>
      </c>
      <c r="Z92" s="47"/>
      <c r="AA92" s="47"/>
    </row>
    <row r="93" spans="1:27" s="117" customFormat="1" ht="9" hidden="1" customHeight="1" x14ac:dyDescent="0.15">
      <c r="A93" s="144"/>
      <c r="B93" s="215"/>
      <c r="C93" s="140"/>
      <c r="D93" s="41">
        <f t="shared" si="28"/>
        <v>0</v>
      </c>
      <c r="E93" s="200"/>
      <c r="F93" s="195">
        <f t="shared" si="23"/>
        <v>0</v>
      </c>
      <c r="G93" s="191">
        <f t="shared" si="24"/>
        <v>0</v>
      </c>
      <c r="H93" s="36"/>
      <c r="I93" s="200"/>
      <c r="J93" s="230"/>
      <c r="K93" s="41">
        <f t="shared" si="29"/>
        <v>0</v>
      </c>
      <c r="L93" s="200"/>
      <c r="M93" s="195">
        <f t="shared" si="27"/>
        <v>0</v>
      </c>
      <c r="N93" s="36"/>
      <c r="O93" s="43">
        <f t="shared" si="16"/>
        <v>0</v>
      </c>
      <c r="P93" s="191">
        <f>S93</f>
        <v>0</v>
      </c>
      <c r="Q93" s="230"/>
      <c r="R93" s="43"/>
      <c r="S93" s="200"/>
      <c r="T93" s="36"/>
      <c r="U93" s="210">
        <f t="shared" si="26"/>
        <v>0</v>
      </c>
      <c r="V93" s="36"/>
      <c r="W93" s="36"/>
      <c r="X93" s="230"/>
      <c r="Y93" s="41"/>
      <c r="Z93" s="47"/>
      <c r="AA93" s="47"/>
    </row>
    <row r="94" spans="1:27" s="179" customFormat="1" x14ac:dyDescent="0.15">
      <c r="A94" s="168" t="s">
        <v>83</v>
      </c>
      <c r="B94" s="216">
        <f>B95+B107</f>
        <v>7.2699999999999987</v>
      </c>
      <c r="C94" s="170">
        <f t="shared" ref="C94:C116" si="30">D94/1000</f>
        <v>3927.7096483261321</v>
      </c>
      <c r="D94" s="41">
        <f t="shared" si="28"/>
        <v>3927709.648326132</v>
      </c>
      <c r="E94" s="191">
        <f>E95+E107</f>
        <v>0</v>
      </c>
      <c r="F94" s="191">
        <f t="shared" si="23"/>
        <v>9160.0939999999991</v>
      </c>
      <c r="G94" s="191">
        <f t="shared" si="24"/>
        <v>9160094</v>
      </c>
      <c r="H94" s="171">
        <f>H107+H95</f>
        <v>0</v>
      </c>
      <c r="I94" s="191">
        <f>I95+I107</f>
        <v>5303402</v>
      </c>
      <c r="J94" s="240">
        <f>J95+J107</f>
        <v>0</v>
      </c>
      <c r="K94" s="191">
        <f t="shared" si="29"/>
        <v>9160.0939999999991</v>
      </c>
      <c r="L94" s="191">
        <f>L95+L107</f>
        <v>9160094</v>
      </c>
      <c r="M94" s="191">
        <f t="shared" si="27"/>
        <v>0</v>
      </c>
      <c r="N94" s="171">
        <f>N95+N107</f>
        <v>0</v>
      </c>
      <c r="O94" s="171">
        <f t="shared" si="16"/>
        <v>0</v>
      </c>
      <c r="P94" s="191">
        <f t="shared" ref="P94:P118" si="31">S94</f>
        <v>0</v>
      </c>
      <c r="Q94" s="191">
        <v>0</v>
      </c>
      <c r="R94" s="171">
        <f t="shared" ref="R94:R116" si="32">S94/1000*-1</f>
        <v>0</v>
      </c>
      <c r="S94" s="201">
        <f>S95+S107</f>
        <v>0</v>
      </c>
      <c r="T94" s="176">
        <f>T95+T107</f>
        <v>0</v>
      </c>
      <c r="U94" s="210">
        <f t="shared" si="26"/>
        <v>3927709.648326132</v>
      </c>
      <c r="V94" s="173">
        <f t="shared" ref="V94:V115" si="33">C94+M94</f>
        <v>3927.7096483261321</v>
      </c>
      <c r="W94" s="173">
        <f t="shared" ref="W94:W116" si="34">F94+O94</f>
        <v>9160.0939999999991</v>
      </c>
      <c r="X94" s="198">
        <f t="shared" ref="X94:Y116" si="35">J94+Q94</f>
        <v>0</v>
      </c>
      <c r="Y94" s="171">
        <f t="shared" si="35"/>
        <v>9160.0939999999991</v>
      </c>
      <c r="Z94" s="174"/>
      <c r="AA94" s="174"/>
    </row>
    <row r="95" spans="1:27" s="118" customFormat="1" ht="9.9499999999999993" customHeight="1" x14ac:dyDescent="0.15">
      <c r="A95" s="142" t="s">
        <v>200</v>
      </c>
      <c r="B95" s="212">
        <f>SUM(B96:B106)</f>
        <v>4.169999999999999</v>
      </c>
      <c r="C95" s="140">
        <f t="shared" si="30"/>
        <v>2252.8953553672586</v>
      </c>
      <c r="D95" s="41">
        <f t="shared" si="28"/>
        <v>2252895.3553672587</v>
      </c>
      <c r="E95" s="198">
        <f>SUM(E96:E106)</f>
        <v>0</v>
      </c>
      <c r="F95" s="195">
        <f t="shared" si="23"/>
        <v>3080.5230000000001</v>
      </c>
      <c r="G95" s="191">
        <f t="shared" si="24"/>
        <v>3080523</v>
      </c>
      <c r="H95" s="33">
        <f>SUM(H96:H105)</f>
        <v>0</v>
      </c>
      <c r="I95" s="198">
        <f>I96+I98+I99+I100+I101+I102+I103++I104+I106</f>
        <v>871402</v>
      </c>
      <c r="J95" s="234">
        <f>SUM(J96:J105)</f>
        <v>0</v>
      </c>
      <c r="K95" s="41">
        <f t="shared" si="29"/>
        <v>3080.5230000000001</v>
      </c>
      <c r="L95" s="198">
        <f>SUM(L96:L106)</f>
        <v>3080523</v>
      </c>
      <c r="M95" s="195">
        <f t="shared" si="27"/>
        <v>0</v>
      </c>
      <c r="N95" s="33">
        <f>N100</f>
        <v>0</v>
      </c>
      <c r="O95" s="41">
        <f t="shared" si="16"/>
        <v>0</v>
      </c>
      <c r="P95" s="191">
        <f t="shared" si="31"/>
        <v>0</v>
      </c>
      <c r="Q95" s="231">
        <v>0</v>
      </c>
      <c r="R95" s="41">
        <f t="shared" si="32"/>
        <v>0</v>
      </c>
      <c r="S95" s="198"/>
      <c r="T95" s="33">
        <f>T100</f>
        <v>0</v>
      </c>
      <c r="U95" s="210">
        <f t="shared" si="26"/>
        <v>2252895.3553672587</v>
      </c>
      <c r="V95" s="33">
        <f t="shared" si="33"/>
        <v>2252.8953553672586</v>
      </c>
      <c r="W95" s="33">
        <f t="shared" si="34"/>
        <v>3080.5230000000001</v>
      </c>
      <c r="X95" s="231">
        <f t="shared" si="35"/>
        <v>0</v>
      </c>
      <c r="Y95" s="41">
        <f t="shared" si="35"/>
        <v>3080.5230000000001</v>
      </c>
      <c r="Z95" s="47"/>
      <c r="AA95" s="47"/>
    </row>
    <row r="96" spans="1:27" s="117" customFormat="1" ht="9.9499999999999993" customHeight="1" x14ac:dyDescent="0.15">
      <c r="A96" s="144" t="s">
        <v>201</v>
      </c>
      <c r="B96" s="215">
        <v>0.86</v>
      </c>
      <c r="C96" s="145">
        <f t="shared" si="30"/>
        <v>464.62590062730044</v>
      </c>
      <c r="D96" s="41">
        <f t="shared" si="28"/>
        <v>464625.90062730043</v>
      </c>
      <c r="E96" s="200"/>
      <c r="F96" s="196">
        <f t="shared" si="23"/>
        <v>1027</v>
      </c>
      <c r="G96" s="191">
        <f t="shared" si="24"/>
        <v>1027000</v>
      </c>
      <c r="H96" s="36"/>
      <c r="I96" s="200">
        <v>571402</v>
      </c>
      <c r="J96" s="230"/>
      <c r="K96" s="43">
        <f t="shared" si="29"/>
        <v>1027</v>
      </c>
      <c r="L96" s="200">
        <v>1027000</v>
      </c>
      <c r="M96" s="196">
        <f t="shared" si="27"/>
        <v>0</v>
      </c>
      <c r="N96" s="36"/>
      <c r="O96" s="43">
        <f t="shared" si="16"/>
        <v>0</v>
      </c>
      <c r="P96" s="191">
        <f t="shared" si="31"/>
        <v>0</v>
      </c>
      <c r="Q96" s="230">
        <v>0</v>
      </c>
      <c r="R96" s="43">
        <f t="shared" si="32"/>
        <v>0</v>
      </c>
      <c r="S96" s="200"/>
      <c r="T96" s="36"/>
      <c r="U96" s="210">
        <f t="shared" si="26"/>
        <v>464625.90062730043</v>
      </c>
      <c r="V96" s="36">
        <f t="shared" si="33"/>
        <v>464.62590062730044</v>
      </c>
      <c r="W96" s="36">
        <f t="shared" si="34"/>
        <v>1027</v>
      </c>
      <c r="X96" s="230">
        <f t="shared" si="35"/>
        <v>0</v>
      </c>
      <c r="Y96" s="43">
        <f t="shared" si="35"/>
        <v>1027</v>
      </c>
      <c r="Z96" s="47"/>
      <c r="AA96" s="47"/>
    </row>
    <row r="97" spans="1:27" s="117" customFormat="1" ht="9.9499999999999993" hidden="1" customHeight="1" x14ac:dyDescent="0.15">
      <c r="A97" s="144"/>
      <c r="B97" s="215"/>
      <c r="C97" s="145">
        <f t="shared" si="30"/>
        <v>0</v>
      </c>
      <c r="D97" s="41">
        <f t="shared" si="28"/>
        <v>0</v>
      </c>
      <c r="E97" s="200"/>
      <c r="F97" s="196">
        <f t="shared" si="23"/>
        <v>0</v>
      </c>
      <c r="G97" s="191">
        <f t="shared" si="24"/>
        <v>0</v>
      </c>
      <c r="H97" s="36"/>
      <c r="I97" s="200"/>
      <c r="J97" s="230"/>
      <c r="K97" s="43">
        <f t="shared" si="29"/>
        <v>0</v>
      </c>
      <c r="L97" s="200"/>
      <c r="M97" s="196">
        <f t="shared" si="27"/>
        <v>0</v>
      </c>
      <c r="N97" s="36"/>
      <c r="O97" s="43">
        <f t="shared" si="16"/>
        <v>0</v>
      </c>
      <c r="P97" s="191">
        <f t="shared" si="31"/>
        <v>0</v>
      </c>
      <c r="Q97" s="230">
        <v>0</v>
      </c>
      <c r="R97" s="43">
        <f t="shared" si="32"/>
        <v>0</v>
      </c>
      <c r="S97" s="200"/>
      <c r="T97" s="36"/>
      <c r="U97" s="210">
        <f t="shared" si="26"/>
        <v>0</v>
      </c>
      <c r="V97" s="36">
        <f t="shared" si="33"/>
        <v>0</v>
      </c>
      <c r="W97" s="36">
        <f t="shared" si="34"/>
        <v>0</v>
      </c>
      <c r="X97" s="230">
        <f t="shared" si="35"/>
        <v>0</v>
      </c>
      <c r="Y97" s="43">
        <f t="shared" si="35"/>
        <v>0</v>
      </c>
      <c r="Z97" s="47"/>
      <c r="AA97" s="47"/>
    </row>
    <row r="98" spans="1:27" s="117" customFormat="1" ht="9.9499999999999993" customHeight="1" x14ac:dyDescent="0.15">
      <c r="A98" s="144" t="s">
        <v>202</v>
      </c>
      <c r="B98" s="215">
        <v>0.25</v>
      </c>
      <c r="C98" s="145">
        <f t="shared" si="30"/>
        <v>135.06566878700593</v>
      </c>
      <c r="D98" s="41">
        <f t="shared" si="28"/>
        <v>135065.66878700594</v>
      </c>
      <c r="E98" s="200"/>
      <c r="F98" s="196">
        <f t="shared" si="23"/>
        <v>132.441</v>
      </c>
      <c r="G98" s="191">
        <f t="shared" si="24"/>
        <v>132441</v>
      </c>
      <c r="H98" s="36"/>
      <c r="I98" s="200"/>
      <c r="J98" s="230"/>
      <c r="K98" s="43">
        <f t="shared" si="29"/>
        <v>132.441</v>
      </c>
      <c r="L98" s="200">
        <v>132441</v>
      </c>
      <c r="M98" s="196">
        <f t="shared" si="27"/>
        <v>0</v>
      </c>
      <c r="N98" s="36"/>
      <c r="O98" s="43">
        <f t="shared" si="16"/>
        <v>0</v>
      </c>
      <c r="P98" s="191">
        <f t="shared" si="31"/>
        <v>0</v>
      </c>
      <c r="Q98" s="230">
        <v>0</v>
      </c>
      <c r="R98" s="43">
        <f t="shared" si="32"/>
        <v>0</v>
      </c>
      <c r="S98" s="200"/>
      <c r="T98" s="36"/>
      <c r="U98" s="210">
        <f t="shared" si="26"/>
        <v>135065.66878700594</v>
      </c>
      <c r="V98" s="36">
        <f t="shared" si="33"/>
        <v>135.06566878700593</v>
      </c>
      <c r="W98" s="36">
        <f t="shared" si="34"/>
        <v>132.441</v>
      </c>
      <c r="X98" s="230">
        <f t="shared" si="35"/>
        <v>0</v>
      </c>
      <c r="Y98" s="43">
        <f t="shared" si="35"/>
        <v>132.441</v>
      </c>
      <c r="Z98" s="47"/>
      <c r="AA98" s="47"/>
    </row>
    <row r="99" spans="1:27" s="117" customFormat="1" ht="9.9499999999999993" customHeight="1" x14ac:dyDescent="0.15">
      <c r="A99" s="144" t="s">
        <v>203</v>
      </c>
      <c r="B99" s="215">
        <v>1.48</v>
      </c>
      <c r="C99" s="145">
        <f t="shared" si="30"/>
        <v>799.5887592190752</v>
      </c>
      <c r="D99" s="41">
        <f t="shared" si="28"/>
        <v>799588.7592190752</v>
      </c>
      <c r="E99" s="200"/>
      <c r="F99" s="196">
        <f t="shared" si="23"/>
        <v>834.05200000000002</v>
      </c>
      <c r="G99" s="191">
        <f t="shared" si="24"/>
        <v>834052</v>
      </c>
      <c r="H99" s="36"/>
      <c r="I99" s="200">
        <v>50000</v>
      </c>
      <c r="J99" s="230"/>
      <c r="K99" s="43">
        <f t="shared" si="29"/>
        <v>834.05200000000002</v>
      </c>
      <c r="L99" s="200">
        <v>834052</v>
      </c>
      <c r="M99" s="196">
        <f t="shared" si="27"/>
        <v>0</v>
      </c>
      <c r="N99" s="36"/>
      <c r="O99" s="43">
        <f t="shared" si="16"/>
        <v>0</v>
      </c>
      <c r="P99" s="191">
        <f t="shared" si="31"/>
        <v>0</v>
      </c>
      <c r="Q99" s="230">
        <v>0</v>
      </c>
      <c r="R99" s="43">
        <f t="shared" si="32"/>
        <v>0</v>
      </c>
      <c r="S99" s="200"/>
      <c r="T99" s="36"/>
      <c r="U99" s="210">
        <f t="shared" si="26"/>
        <v>799588.7592190752</v>
      </c>
      <c r="V99" s="36">
        <f t="shared" si="33"/>
        <v>799.5887592190752</v>
      </c>
      <c r="W99" s="36">
        <f t="shared" si="34"/>
        <v>834.05200000000002</v>
      </c>
      <c r="X99" s="230">
        <f t="shared" si="35"/>
        <v>0</v>
      </c>
      <c r="Y99" s="43">
        <f t="shared" si="35"/>
        <v>834.05200000000002</v>
      </c>
      <c r="Z99" s="47"/>
      <c r="AA99" s="47"/>
    </row>
    <row r="100" spans="1:27" s="117" customFormat="1" ht="9.9499999999999993" customHeight="1" x14ac:dyDescent="0.15">
      <c r="A100" s="144" t="s">
        <v>204</v>
      </c>
      <c r="B100" s="215">
        <v>0.1</v>
      </c>
      <c r="C100" s="145">
        <f t="shared" si="30"/>
        <v>54.026267514802377</v>
      </c>
      <c r="D100" s="41">
        <f t="shared" si="28"/>
        <v>54026.267514802377</v>
      </c>
      <c r="E100" s="200"/>
      <c r="F100" s="196">
        <f t="shared" si="23"/>
        <v>252.977</v>
      </c>
      <c r="G100" s="191">
        <f t="shared" si="24"/>
        <v>252977</v>
      </c>
      <c r="H100" s="36"/>
      <c r="I100" s="200">
        <v>200000</v>
      </c>
      <c r="J100" s="230"/>
      <c r="K100" s="43">
        <f t="shared" si="29"/>
        <v>252.977</v>
      </c>
      <c r="L100" s="200">
        <v>252977</v>
      </c>
      <c r="M100" s="196">
        <f t="shared" si="27"/>
        <v>0</v>
      </c>
      <c r="N100" s="36"/>
      <c r="O100" s="43">
        <f t="shared" ref="O100:O116" si="36">P100/1000*-1</f>
        <v>0</v>
      </c>
      <c r="P100" s="191">
        <f t="shared" si="31"/>
        <v>0</v>
      </c>
      <c r="Q100" s="230">
        <v>0</v>
      </c>
      <c r="R100" s="43">
        <f t="shared" si="32"/>
        <v>0</v>
      </c>
      <c r="S100" s="200"/>
      <c r="T100" s="36"/>
      <c r="U100" s="210">
        <f t="shared" si="26"/>
        <v>54026.267514802377</v>
      </c>
      <c r="V100" s="36">
        <f t="shared" si="33"/>
        <v>54.026267514802377</v>
      </c>
      <c r="W100" s="36">
        <f t="shared" si="34"/>
        <v>252.977</v>
      </c>
      <c r="X100" s="230">
        <f t="shared" si="35"/>
        <v>0</v>
      </c>
      <c r="Y100" s="43">
        <f t="shared" si="35"/>
        <v>252.977</v>
      </c>
      <c r="Z100" s="47"/>
      <c r="AA100" s="47"/>
    </row>
    <row r="101" spans="1:27" s="117" customFormat="1" ht="9.9499999999999993" customHeight="1" x14ac:dyDescent="0.15">
      <c r="A101" s="144" t="s">
        <v>205</v>
      </c>
      <c r="B101" s="215">
        <v>0.88</v>
      </c>
      <c r="C101" s="145">
        <f t="shared" si="30"/>
        <v>475.43115413026095</v>
      </c>
      <c r="D101" s="41">
        <f t="shared" si="28"/>
        <v>475431.15413026093</v>
      </c>
      <c r="E101" s="200"/>
      <c r="F101" s="196">
        <f t="shared" si="23"/>
        <v>466.19299999999998</v>
      </c>
      <c r="G101" s="191">
        <f t="shared" si="24"/>
        <v>466193</v>
      </c>
      <c r="H101" s="36"/>
      <c r="I101" s="200"/>
      <c r="J101" s="230"/>
      <c r="K101" s="43">
        <f t="shared" si="29"/>
        <v>466.19299999999998</v>
      </c>
      <c r="L101" s="200">
        <v>466193</v>
      </c>
      <c r="M101" s="196">
        <f t="shared" si="27"/>
        <v>0</v>
      </c>
      <c r="N101" s="36"/>
      <c r="O101" s="43">
        <f t="shared" si="36"/>
        <v>0</v>
      </c>
      <c r="P101" s="191">
        <f t="shared" si="31"/>
        <v>0</v>
      </c>
      <c r="Q101" s="230">
        <v>0</v>
      </c>
      <c r="R101" s="43">
        <f t="shared" si="32"/>
        <v>0</v>
      </c>
      <c r="S101" s="200"/>
      <c r="T101" s="36"/>
      <c r="U101" s="210">
        <f t="shared" si="26"/>
        <v>475431.15413026093</v>
      </c>
      <c r="V101" s="36">
        <f t="shared" si="33"/>
        <v>475.43115413026095</v>
      </c>
      <c r="W101" s="36">
        <f t="shared" si="34"/>
        <v>466.19299999999998</v>
      </c>
      <c r="X101" s="230">
        <f t="shared" si="35"/>
        <v>0</v>
      </c>
      <c r="Y101" s="43">
        <f t="shared" si="35"/>
        <v>466.19299999999998</v>
      </c>
      <c r="Z101" s="47"/>
      <c r="AA101" s="47"/>
    </row>
    <row r="102" spans="1:27" s="117" customFormat="1" ht="9.9499999999999993" customHeight="1" x14ac:dyDescent="0.15">
      <c r="A102" s="144" t="s">
        <v>206</v>
      </c>
      <c r="B102" s="215">
        <v>0.3</v>
      </c>
      <c r="C102" s="145">
        <f t="shared" si="30"/>
        <v>162.0788025444071</v>
      </c>
      <c r="D102" s="41">
        <f t="shared" si="28"/>
        <v>162078.80254440711</v>
      </c>
      <c r="E102" s="200"/>
      <c r="F102" s="196">
        <f t="shared" si="23"/>
        <v>158.93</v>
      </c>
      <c r="G102" s="191">
        <f t="shared" si="24"/>
        <v>158930</v>
      </c>
      <c r="H102" s="36"/>
      <c r="I102" s="200"/>
      <c r="J102" s="230"/>
      <c r="K102" s="43">
        <f t="shared" si="29"/>
        <v>158.93</v>
      </c>
      <c r="L102" s="200">
        <v>158930</v>
      </c>
      <c r="M102" s="196">
        <f t="shared" si="27"/>
        <v>0</v>
      </c>
      <c r="N102" s="36"/>
      <c r="O102" s="43">
        <f t="shared" si="36"/>
        <v>0</v>
      </c>
      <c r="P102" s="191">
        <f t="shared" si="31"/>
        <v>0</v>
      </c>
      <c r="Q102" s="230">
        <v>0</v>
      </c>
      <c r="R102" s="43">
        <f t="shared" si="32"/>
        <v>0</v>
      </c>
      <c r="S102" s="200"/>
      <c r="T102" s="36"/>
      <c r="U102" s="210">
        <f t="shared" si="26"/>
        <v>162078.80254440711</v>
      </c>
      <c r="V102" s="36">
        <f t="shared" si="33"/>
        <v>162.0788025444071</v>
      </c>
      <c r="W102" s="36">
        <f t="shared" si="34"/>
        <v>158.93</v>
      </c>
      <c r="X102" s="230">
        <f t="shared" si="35"/>
        <v>0</v>
      </c>
      <c r="Y102" s="43">
        <f t="shared" si="35"/>
        <v>158.93</v>
      </c>
      <c r="Z102" s="47"/>
      <c r="AA102" s="47"/>
    </row>
    <row r="103" spans="1:27" s="117" customFormat="1" ht="9.9499999999999993" customHeight="1" x14ac:dyDescent="0.15">
      <c r="A103" s="144" t="s">
        <v>207</v>
      </c>
      <c r="B103" s="215">
        <v>0.2</v>
      </c>
      <c r="C103" s="145">
        <f t="shared" si="30"/>
        <v>108.05253502960475</v>
      </c>
      <c r="D103" s="41">
        <f t="shared" si="28"/>
        <v>108052.53502960475</v>
      </c>
      <c r="E103" s="200"/>
      <c r="F103" s="196">
        <f t="shared" si="23"/>
        <v>105.953</v>
      </c>
      <c r="G103" s="191">
        <f t="shared" si="24"/>
        <v>105953</v>
      </c>
      <c r="H103" s="36"/>
      <c r="I103" s="200"/>
      <c r="J103" s="230"/>
      <c r="K103" s="43">
        <f t="shared" si="29"/>
        <v>105.953</v>
      </c>
      <c r="L103" s="200">
        <v>105953</v>
      </c>
      <c r="M103" s="196">
        <f t="shared" si="27"/>
        <v>0</v>
      </c>
      <c r="N103" s="36"/>
      <c r="O103" s="43">
        <f t="shared" si="36"/>
        <v>0</v>
      </c>
      <c r="P103" s="191">
        <f t="shared" si="31"/>
        <v>0</v>
      </c>
      <c r="Q103" s="230">
        <v>0</v>
      </c>
      <c r="R103" s="43">
        <f t="shared" si="32"/>
        <v>0</v>
      </c>
      <c r="S103" s="200"/>
      <c r="T103" s="36"/>
      <c r="U103" s="210">
        <f t="shared" si="26"/>
        <v>108052.53502960475</v>
      </c>
      <c r="V103" s="36">
        <f t="shared" si="33"/>
        <v>108.05253502960475</v>
      </c>
      <c r="W103" s="36">
        <f t="shared" si="34"/>
        <v>105.953</v>
      </c>
      <c r="X103" s="230">
        <f t="shared" si="35"/>
        <v>0</v>
      </c>
      <c r="Y103" s="43">
        <f t="shared" si="35"/>
        <v>105.953</v>
      </c>
      <c r="Z103" s="47"/>
      <c r="AA103" s="47"/>
    </row>
    <row r="104" spans="1:27" s="117" customFormat="1" ht="9.9499999999999993" customHeight="1" x14ac:dyDescent="0.15">
      <c r="A104" s="144" t="s">
        <v>208</v>
      </c>
      <c r="B104" s="215">
        <v>0.1</v>
      </c>
      <c r="C104" s="145">
        <f t="shared" si="30"/>
        <v>54.026267514802377</v>
      </c>
      <c r="D104" s="41">
        <f t="shared" si="28"/>
        <v>54026.267514802377</v>
      </c>
      <c r="E104" s="200"/>
      <c r="F104" s="196">
        <f t="shared" si="23"/>
        <v>102.977</v>
      </c>
      <c r="G104" s="191">
        <f t="shared" si="24"/>
        <v>102977</v>
      </c>
      <c r="H104" s="36"/>
      <c r="I104" s="200">
        <v>50000</v>
      </c>
      <c r="J104" s="230"/>
      <c r="K104" s="43">
        <f t="shared" si="29"/>
        <v>102.977</v>
      </c>
      <c r="L104" s="200">
        <v>102977</v>
      </c>
      <c r="M104" s="196">
        <f t="shared" si="27"/>
        <v>0</v>
      </c>
      <c r="N104" s="36"/>
      <c r="O104" s="43">
        <f t="shared" si="36"/>
        <v>0</v>
      </c>
      <c r="P104" s="191">
        <f t="shared" si="31"/>
        <v>0</v>
      </c>
      <c r="Q104" s="230">
        <v>0</v>
      </c>
      <c r="R104" s="43">
        <f t="shared" si="32"/>
        <v>0</v>
      </c>
      <c r="S104" s="200"/>
      <c r="T104" s="36"/>
      <c r="U104" s="210">
        <f t="shared" si="26"/>
        <v>54026.267514802377</v>
      </c>
      <c r="V104" s="36">
        <f t="shared" si="33"/>
        <v>54.026267514802377</v>
      </c>
      <c r="W104" s="36">
        <f t="shared" si="34"/>
        <v>102.977</v>
      </c>
      <c r="X104" s="230">
        <f t="shared" si="35"/>
        <v>0</v>
      </c>
      <c r="Y104" s="43">
        <f t="shared" si="35"/>
        <v>102.977</v>
      </c>
      <c r="Z104" s="47"/>
      <c r="AA104" s="47"/>
    </row>
    <row r="105" spans="1:27" s="117" customFormat="1" ht="9.9499999999999993" customHeight="1" x14ac:dyDescent="0.15">
      <c r="A105" s="144" t="s">
        <v>209</v>
      </c>
      <c r="B105" s="215">
        <v>0</v>
      </c>
      <c r="C105" s="145"/>
      <c r="D105" s="41">
        <f t="shared" si="28"/>
        <v>0</v>
      </c>
      <c r="E105" s="200"/>
      <c r="F105" s="196">
        <f t="shared" si="23"/>
        <v>0</v>
      </c>
      <c r="G105" s="191">
        <f t="shared" si="24"/>
        <v>0</v>
      </c>
      <c r="H105" s="36"/>
      <c r="I105" s="200"/>
      <c r="J105" s="230"/>
      <c r="K105" s="43">
        <f t="shared" si="29"/>
        <v>0</v>
      </c>
      <c r="L105" s="200"/>
      <c r="M105" s="196">
        <f t="shared" si="27"/>
        <v>0</v>
      </c>
      <c r="N105" s="36"/>
      <c r="O105" s="43"/>
      <c r="P105" s="191">
        <f t="shared" si="31"/>
        <v>0</v>
      </c>
      <c r="Q105" s="230"/>
      <c r="R105" s="43"/>
      <c r="S105" s="200"/>
      <c r="T105" s="36"/>
      <c r="U105" s="210">
        <f t="shared" si="26"/>
        <v>0</v>
      </c>
      <c r="V105" s="36">
        <f t="shared" si="33"/>
        <v>0</v>
      </c>
      <c r="W105" s="36">
        <f t="shared" si="34"/>
        <v>0</v>
      </c>
      <c r="X105" s="230">
        <f t="shared" si="35"/>
        <v>0</v>
      </c>
      <c r="Y105" s="43">
        <f t="shared" si="35"/>
        <v>0</v>
      </c>
      <c r="Z105" s="47"/>
      <c r="AA105" s="47"/>
    </row>
    <row r="106" spans="1:27" s="117" customFormat="1" ht="9.9499999999999993" hidden="1" customHeight="1" x14ac:dyDescent="0.15">
      <c r="A106" s="144"/>
      <c r="B106" s="215"/>
      <c r="C106" s="145">
        <f t="shared" si="30"/>
        <v>0</v>
      </c>
      <c r="D106" s="41">
        <f t="shared" si="28"/>
        <v>0</v>
      </c>
      <c r="E106" s="200"/>
      <c r="F106" s="195">
        <f t="shared" si="23"/>
        <v>0</v>
      </c>
      <c r="G106" s="191">
        <f t="shared" si="24"/>
        <v>0</v>
      </c>
      <c r="H106" s="36"/>
      <c r="I106" s="200"/>
      <c r="J106" s="230"/>
      <c r="K106" s="41">
        <f t="shared" si="29"/>
        <v>0</v>
      </c>
      <c r="L106" s="200"/>
      <c r="M106" s="195">
        <f t="shared" si="27"/>
        <v>0</v>
      </c>
      <c r="N106" s="36"/>
      <c r="O106" s="43">
        <f t="shared" si="36"/>
        <v>0</v>
      </c>
      <c r="P106" s="191">
        <f t="shared" si="31"/>
        <v>0</v>
      </c>
      <c r="Q106" s="230">
        <v>0</v>
      </c>
      <c r="R106" s="43">
        <f t="shared" si="32"/>
        <v>0</v>
      </c>
      <c r="S106" s="200"/>
      <c r="T106" s="36"/>
      <c r="U106" s="210">
        <f t="shared" si="26"/>
        <v>0</v>
      </c>
      <c r="V106" s="36">
        <f t="shared" si="33"/>
        <v>0</v>
      </c>
      <c r="W106" s="36">
        <f t="shared" si="34"/>
        <v>0</v>
      </c>
      <c r="X106" s="230">
        <f t="shared" si="35"/>
        <v>0</v>
      </c>
      <c r="Y106" s="43">
        <f t="shared" si="35"/>
        <v>0</v>
      </c>
      <c r="Z106" s="47"/>
      <c r="AA106" s="47"/>
    </row>
    <row r="107" spans="1:27" s="118" customFormat="1" ht="9.9499999999999993" customHeight="1" x14ac:dyDescent="0.15">
      <c r="A107" s="142" t="s">
        <v>239</v>
      </c>
      <c r="B107" s="212">
        <f>SUM(B108:B116)</f>
        <v>3.0999999999999996</v>
      </c>
      <c r="C107" s="140">
        <f t="shared" si="30"/>
        <v>1674.8142929588735</v>
      </c>
      <c r="D107" s="41">
        <f>E107+U107</f>
        <v>1674814.2929588736</v>
      </c>
      <c r="E107" s="198">
        <f>SUM(E108:E116)</f>
        <v>0</v>
      </c>
      <c r="F107" s="195">
        <f t="shared" si="23"/>
        <v>6079.5709999999999</v>
      </c>
      <c r="G107" s="191">
        <f t="shared" si="24"/>
        <v>6079571</v>
      </c>
      <c r="H107" s="33">
        <f>SUM(H108:H116)</f>
        <v>0</v>
      </c>
      <c r="I107" s="198">
        <f>SUM(I108:I116)</f>
        <v>4432000</v>
      </c>
      <c r="J107" s="231">
        <f>SUM(J108:J116)</f>
        <v>0</v>
      </c>
      <c r="K107" s="41">
        <f t="shared" si="29"/>
        <v>6079.5709999999999</v>
      </c>
      <c r="L107" s="198">
        <f>SUM(L108:L116)</f>
        <v>6079571</v>
      </c>
      <c r="M107" s="195">
        <f t="shared" si="27"/>
        <v>0</v>
      </c>
      <c r="N107" s="33"/>
      <c r="O107" s="41">
        <f t="shared" si="36"/>
        <v>0</v>
      </c>
      <c r="P107" s="191">
        <f t="shared" si="31"/>
        <v>0</v>
      </c>
      <c r="Q107" s="231">
        <v>0</v>
      </c>
      <c r="R107" s="41">
        <f t="shared" si="32"/>
        <v>0</v>
      </c>
      <c r="S107" s="198"/>
      <c r="T107" s="33"/>
      <c r="U107" s="210">
        <f t="shared" si="26"/>
        <v>1674814.2929588736</v>
      </c>
      <c r="V107" s="33">
        <f t="shared" si="33"/>
        <v>1674.8142929588735</v>
      </c>
      <c r="W107" s="33">
        <f t="shared" si="34"/>
        <v>6079.5709999999999</v>
      </c>
      <c r="X107" s="231">
        <f t="shared" si="35"/>
        <v>0</v>
      </c>
      <c r="Y107" s="41">
        <f t="shared" si="35"/>
        <v>6079.5709999999999</v>
      </c>
      <c r="Z107" s="47"/>
      <c r="AA107" s="47"/>
    </row>
    <row r="108" spans="1:27" s="117" customFormat="1" ht="9.9499999999999993" customHeight="1" x14ac:dyDescent="0.15">
      <c r="A108" s="144" t="s">
        <v>210</v>
      </c>
      <c r="B108" s="215">
        <v>0</v>
      </c>
      <c r="C108" s="145">
        <f t="shared" si="30"/>
        <v>0</v>
      </c>
      <c r="D108" s="41">
        <f t="shared" si="28"/>
        <v>0</v>
      </c>
      <c r="E108" s="200"/>
      <c r="F108" s="196">
        <f t="shared" si="23"/>
        <v>2000</v>
      </c>
      <c r="G108" s="191">
        <f t="shared" si="24"/>
        <v>2000000</v>
      </c>
      <c r="H108" s="36"/>
      <c r="I108" s="200">
        <v>2000000</v>
      </c>
      <c r="J108" s="230"/>
      <c r="K108" s="43">
        <f t="shared" si="29"/>
        <v>2000</v>
      </c>
      <c r="L108" s="200">
        <v>2000000</v>
      </c>
      <c r="M108" s="196">
        <f t="shared" si="27"/>
        <v>0</v>
      </c>
      <c r="N108" s="36"/>
      <c r="O108" s="43">
        <f t="shared" si="36"/>
        <v>0</v>
      </c>
      <c r="P108" s="191">
        <f t="shared" si="31"/>
        <v>0</v>
      </c>
      <c r="Q108" s="230">
        <v>0</v>
      </c>
      <c r="R108" s="43">
        <f t="shared" si="32"/>
        <v>0</v>
      </c>
      <c r="S108" s="200"/>
      <c r="T108" s="36"/>
      <c r="U108" s="210">
        <f>$U$8/$B$8*B108</f>
        <v>0</v>
      </c>
      <c r="V108" s="36">
        <f t="shared" si="33"/>
        <v>0</v>
      </c>
      <c r="W108" s="36">
        <f t="shared" si="34"/>
        <v>2000</v>
      </c>
      <c r="X108" s="230">
        <f t="shared" si="35"/>
        <v>0</v>
      </c>
      <c r="Y108" s="43">
        <f t="shared" si="35"/>
        <v>2000</v>
      </c>
      <c r="Z108" s="47"/>
      <c r="AA108" s="47"/>
    </row>
    <row r="109" spans="1:27" s="117" customFormat="1" ht="9.9499999999999993" customHeight="1" x14ac:dyDescent="0.15">
      <c r="A109" s="144" t="s">
        <v>211</v>
      </c>
      <c r="B109" s="215">
        <v>0.1</v>
      </c>
      <c r="C109" s="145">
        <f t="shared" si="30"/>
        <v>54.026267514802377</v>
      </c>
      <c r="D109" s="41">
        <f t="shared" si="28"/>
        <v>54026.267514802377</v>
      </c>
      <c r="E109" s="200"/>
      <c r="F109" s="196">
        <f t="shared" si="23"/>
        <v>102.977</v>
      </c>
      <c r="G109" s="191">
        <f t="shared" si="24"/>
        <v>102977</v>
      </c>
      <c r="H109" s="36"/>
      <c r="I109" s="200">
        <v>50000</v>
      </c>
      <c r="J109" s="230"/>
      <c r="K109" s="43">
        <f t="shared" si="29"/>
        <v>102.977</v>
      </c>
      <c r="L109" s="200">
        <v>102977</v>
      </c>
      <c r="M109" s="196">
        <f t="shared" si="27"/>
        <v>0</v>
      </c>
      <c r="N109" s="36"/>
      <c r="O109" s="43">
        <f t="shared" si="36"/>
        <v>0</v>
      </c>
      <c r="P109" s="191">
        <f t="shared" si="31"/>
        <v>0</v>
      </c>
      <c r="Q109" s="230">
        <v>0</v>
      </c>
      <c r="R109" s="43">
        <f t="shared" si="32"/>
        <v>0</v>
      </c>
      <c r="S109" s="200"/>
      <c r="T109" s="36"/>
      <c r="U109" s="210">
        <f t="shared" si="26"/>
        <v>54026.267514802377</v>
      </c>
      <c r="V109" s="36">
        <f t="shared" si="33"/>
        <v>54.026267514802377</v>
      </c>
      <c r="W109" s="36">
        <f t="shared" si="34"/>
        <v>102.977</v>
      </c>
      <c r="X109" s="230">
        <f t="shared" si="35"/>
        <v>0</v>
      </c>
      <c r="Y109" s="43">
        <f t="shared" si="35"/>
        <v>102.977</v>
      </c>
      <c r="Z109" s="47"/>
      <c r="AA109" s="47"/>
    </row>
    <row r="110" spans="1:27" s="117" customFormat="1" ht="9.9499999999999993" customHeight="1" x14ac:dyDescent="0.15">
      <c r="A110" s="144" t="s">
        <v>212</v>
      </c>
      <c r="B110" s="215">
        <v>0.15</v>
      </c>
      <c r="C110" s="145">
        <f t="shared" si="30"/>
        <v>81.039401272203548</v>
      </c>
      <c r="D110" s="41">
        <f t="shared" si="28"/>
        <v>81039.401272203555</v>
      </c>
      <c r="E110" s="200"/>
      <c r="F110" s="196">
        <f t="shared" si="23"/>
        <v>421.46499999999997</v>
      </c>
      <c r="G110" s="191">
        <f t="shared" si="24"/>
        <v>421465</v>
      </c>
      <c r="H110" s="36"/>
      <c r="I110" s="200">
        <v>342000</v>
      </c>
      <c r="J110" s="230"/>
      <c r="K110" s="43">
        <f t="shared" si="29"/>
        <v>421.46499999999997</v>
      </c>
      <c r="L110" s="200">
        <v>421465</v>
      </c>
      <c r="M110" s="196">
        <f t="shared" si="27"/>
        <v>0</v>
      </c>
      <c r="N110" s="36"/>
      <c r="O110" s="43">
        <f t="shared" si="36"/>
        <v>0</v>
      </c>
      <c r="P110" s="191">
        <f t="shared" si="31"/>
        <v>0</v>
      </c>
      <c r="Q110" s="230">
        <v>0</v>
      </c>
      <c r="R110" s="43">
        <f t="shared" si="32"/>
        <v>0</v>
      </c>
      <c r="S110" s="200"/>
      <c r="T110" s="36"/>
      <c r="U110" s="210">
        <f t="shared" si="26"/>
        <v>81039.401272203555</v>
      </c>
      <c r="V110" s="36">
        <f t="shared" si="33"/>
        <v>81.039401272203548</v>
      </c>
      <c r="W110" s="36">
        <f t="shared" si="34"/>
        <v>421.46499999999997</v>
      </c>
      <c r="X110" s="230">
        <f t="shared" si="35"/>
        <v>0</v>
      </c>
      <c r="Y110" s="43">
        <f t="shared" si="35"/>
        <v>421.46499999999997</v>
      </c>
      <c r="Z110" s="47"/>
      <c r="AA110" s="47"/>
    </row>
    <row r="111" spans="1:27" s="117" customFormat="1" ht="9.9499999999999993" customHeight="1" x14ac:dyDescent="0.15">
      <c r="A111" s="144" t="s">
        <v>213</v>
      </c>
      <c r="B111" s="215">
        <v>0.1</v>
      </c>
      <c r="C111" s="145">
        <f t="shared" si="30"/>
        <v>54.026267514802377</v>
      </c>
      <c r="D111" s="41">
        <f t="shared" si="28"/>
        <v>54026.267514802377</v>
      </c>
      <c r="E111" s="200"/>
      <c r="F111" s="196">
        <f t="shared" si="23"/>
        <v>252.977</v>
      </c>
      <c r="G111" s="191">
        <f t="shared" si="24"/>
        <v>252977</v>
      </c>
      <c r="H111" s="36"/>
      <c r="I111" s="200">
        <v>200000</v>
      </c>
      <c r="J111" s="230"/>
      <c r="K111" s="43">
        <f t="shared" si="29"/>
        <v>252.977</v>
      </c>
      <c r="L111" s="200">
        <v>252977</v>
      </c>
      <c r="M111" s="196">
        <f t="shared" si="27"/>
        <v>0</v>
      </c>
      <c r="N111" s="36"/>
      <c r="O111" s="43">
        <f t="shared" si="36"/>
        <v>0</v>
      </c>
      <c r="P111" s="191">
        <f t="shared" si="31"/>
        <v>0</v>
      </c>
      <c r="Q111" s="230">
        <v>0</v>
      </c>
      <c r="R111" s="43">
        <f t="shared" si="32"/>
        <v>0</v>
      </c>
      <c r="S111" s="200"/>
      <c r="T111" s="36"/>
      <c r="U111" s="210">
        <f t="shared" si="26"/>
        <v>54026.267514802377</v>
      </c>
      <c r="V111" s="36">
        <f t="shared" si="33"/>
        <v>54.026267514802377</v>
      </c>
      <c r="W111" s="36">
        <f t="shared" si="34"/>
        <v>252.977</v>
      </c>
      <c r="X111" s="230">
        <f t="shared" si="35"/>
        <v>0</v>
      </c>
      <c r="Y111" s="43">
        <f t="shared" si="35"/>
        <v>252.977</v>
      </c>
      <c r="Z111" s="47"/>
      <c r="AA111" s="47"/>
    </row>
    <row r="112" spans="1:27" s="117" customFormat="1" ht="9.9499999999999993" customHeight="1" x14ac:dyDescent="0.15">
      <c r="A112" s="144" t="s">
        <v>214</v>
      </c>
      <c r="B112" s="215">
        <v>0.6</v>
      </c>
      <c r="C112" s="145">
        <f t="shared" si="30"/>
        <v>324.15760508881419</v>
      </c>
      <c r="D112" s="41">
        <f t="shared" si="28"/>
        <v>324157.60508881422</v>
      </c>
      <c r="E112" s="200"/>
      <c r="F112" s="196">
        <f t="shared" si="23"/>
        <v>1917.8589999999999</v>
      </c>
      <c r="G112" s="191">
        <f t="shared" si="24"/>
        <v>1917859</v>
      </c>
      <c r="H112" s="36"/>
      <c r="I112" s="200">
        <v>1600000</v>
      </c>
      <c r="J112" s="230"/>
      <c r="K112" s="43">
        <f t="shared" si="29"/>
        <v>1917.8589999999999</v>
      </c>
      <c r="L112" s="200">
        <v>1917859</v>
      </c>
      <c r="M112" s="196">
        <f t="shared" si="27"/>
        <v>0</v>
      </c>
      <c r="N112" s="36"/>
      <c r="O112" s="43">
        <f t="shared" si="36"/>
        <v>0</v>
      </c>
      <c r="P112" s="191">
        <f t="shared" si="31"/>
        <v>0</v>
      </c>
      <c r="Q112" s="230">
        <v>0</v>
      </c>
      <c r="R112" s="43">
        <f t="shared" si="32"/>
        <v>0</v>
      </c>
      <c r="S112" s="200"/>
      <c r="T112" s="36"/>
      <c r="U112" s="210">
        <f t="shared" si="26"/>
        <v>324157.60508881422</v>
      </c>
      <c r="V112" s="36">
        <f t="shared" si="33"/>
        <v>324.15760508881419</v>
      </c>
      <c r="W112" s="36">
        <f t="shared" si="34"/>
        <v>1917.8589999999999</v>
      </c>
      <c r="X112" s="230">
        <f t="shared" si="35"/>
        <v>0</v>
      </c>
      <c r="Y112" s="43">
        <f t="shared" si="35"/>
        <v>1917.8589999999999</v>
      </c>
      <c r="Z112" s="47"/>
      <c r="AA112" s="47"/>
    </row>
    <row r="113" spans="1:27" s="117" customFormat="1" ht="9.9499999999999993" customHeight="1" x14ac:dyDescent="0.15">
      <c r="A113" s="144" t="s">
        <v>215</v>
      </c>
      <c r="B113" s="215">
        <v>0.45</v>
      </c>
      <c r="C113" s="145">
        <f t="shared" si="30"/>
        <v>243.1182038166107</v>
      </c>
      <c r="D113" s="41">
        <f t="shared" si="28"/>
        <v>243118.20381661071</v>
      </c>
      <c r="E113" s="200"/>
      <c r="F113" s="196">
        <f t="shared" si="23"/>
        <v>358.39400000000001</v>
      </c>
      <c r="G113" s="191">
        <f t="shared" si="24"/>
        <v>358394</v>
      </c>
      <c r="H113" s="36"/>
      <c r="I113" s="200">
        <v>120000</v>
      </c>
      <c r="J113" s="230"/>
      <c r="K113" s="43">
        <f t="shared" si="29"/>
        <v>358.39400000000001</v>
      </c>
      <c r="L113" s="200">
        <v>358394</v>
      </c>
      <c r="M113" s="196">
        <f t="shared" si="27"/>
        <v>0</v>
      </c>
      <c r="N113" s="36"/>
      <c r="O113" s="43">
        <f t="shared" si="36"/>
        <v>0</v>
      </c>
      <c r="P113" s="191">
        <f t="shared" si="31"/>
        <v>0</v>
      </c>
      <c r="Q113" s="230">
        <v>0</v>
      </c>
      <c r="R113" s="43">
        <f t="shared" si="32"/>
        <v>0</v>
      </c>
      <c r="S113" s="200"/>
      <c r="T113" s="36"/>
      <c r="U113" s="210">
        <f t="shared" si="26"/>
        <v>243118.20381661071</v>
      </c>
      <c r="V113" s="36">
        <f t="shared" si="33"/>
        <v>243.1182038166107</v>
      </c>
      <c r="W113" s="36">
        <f t="shared" si="34"/>
        <v>358.39400000000001</v>
      </c>
      <c r="X113" s="230">
        <f t="shared" si="35"/>
        <v>0</v>
      </c>
      <c r="Y113" s="43">
        <f t="shared" si="35"/>
        <v>358.39400000000001</v>
      </c>
      <c r="Z113" s="47"/>
      <c r="AA113" s="47"/>
    </row>
    <row r="114" spans="1:27" s="117" customFormat="1" ht="9.9499999999999993" customHeight="1" x14ac:dyDescent="0.15">
      <c r="A114" s="144" t="s">
        <v>216</v>
      </c>
      <c r="B114" s="215">
        <v>1.1499999999999999</v>
      </c>
      <c r="C114" s="145">
        <f t="shared" si="30"/>
        <v>621.30207642022731</v>
      </c>
      <c r="D114" s="41">
        <f t="shared" si="28"/>
        <v>621302.0764202273</v>
      </c>
      <c r="E114" s="200"/>
      <c r="F114" s="196">
        <f t="shared" si="23"/>
        <v>684.52800000000002</v>
      </c>
      <c r="G114" s="191">
        <f t="shared" si="24"/>
        <v>684528</v>
      </c>
      <c r="H114" s="36"/>
      <c r="I114" s="200">
        <v>70000</v>
      </c>
      <c r="J114" s="230"/>
      <c r="K114" s="43">
        <f t="shared" si="29"/>
        <v>684.52800000000002</v>
      </c>
      <c r="L114" s="200">
        <v>684528</v>
      </c>
      <c r="M114" s="196">
        <f t="shared" si="27"/>
        <v>0</v>
      </c>
      <c r="N114" s="36"/>
      <c r="O114" s="43">
        <f t="shared" si="36"/>
        <v>0</v>
      </c>
      <c r="P114" s="191">
        <f t="shared" si="31"/>
        <v>0</v>
      </c>
      <c r="Q114" s="230">
        <v>0</v>
      </c>
      <c r="R114" s="43">
        <f t="shared" si="32"/>
        <v>0</v>
      </c>
      <c r="S114" s="200"/>
      <c r="T114" s="36"/>
      <c r="U114" s="210">
        <f t="shared" si="26"/>
        <v>621302.0764202273</v>
      </c>
      <c r="V114" s="36">
        <f t="shared" si="33"/>
        <v>621.30207642022731</v>
      </c>
      <c r="W114" s="36">
        <f t="shared" si="34"/>
        <v>684.52800000000002</v>
      </c>
      <c r="X114" s="230">
        <f t="shared" si="35"/>
        <v>0</v>
      </c>
      <c r="Y114" s="43">
        <f t="shared" si="35"/>
        <v>684.52800000000002</v>
      </c>
      <c r="Z114" s="47"/>
      <c r="AA114" s="47"/>
    </row>
    <row r="115" spans="1:27" s="117" customFormat="1" ht="9.9499999999999993" customHeight="1" x14ac:dyDescent="0.15">
      <c r="A115" s="144" t="s">
        <v>217</v>
      </c>
      <c r="B115" s="215">
        <v>0.4</v>
      </c>
      <c r="C115" s="145">
        <f t="shared" si="30"/>
        <v>216.10507005920951</v>
      </c>
      <c r="D115" s="41">
        <f t="shared" si="28"/>
        <v>216105.07005920951</v>
      </c>
      <c r="E115" s="200"/>
      <c r="F115" s="196">
        <f t="shared" si="23"/>
        <v>261.90600000000001</v>
      </c>
      <c r="G115" s="191">
        <f t="shared" si="24"/>
        <v>261906</v>
      </c>
      <c r="H115" s="36"/>
      <c r="I115" s="200">
        <v>50000</v>
      </c>
      <c r="J115" s="230"/>
      <c r="K115" s="43">
        <f t="shared" si="29"/>
        <v>261.90600000000001</v>
      </c>
      <c r="L115" s="200">
        <v>261906</v>
      </c>
      <c r="M115" s="196">
        <f t="shared" si="27"/>
        <v>0</v>
      </c>
      <c r="N115" s="36"/>
      <c r="O115" s="43">
        <f t="shared" si="36"/>
        <v>0</v>
      </c>
      <c r="P115" s="191">
        <f t="shared" si="31"/>
        <v>0</v>
      </c>
      <c r="Q115" s="230">
        <v>0</v>
      </c>
      <c r="R115" s="43">
        <f t="shared" si="32"/>
        <v>0</v>
      </c>
      <c r="S115" s="200"/>
      <c r="T115" s="36"/>
      <c r="U115" s="210">
        <f t="shared" si="26"/>
        <v>216105.07005920951</v>
      </c>
      <c r="V115" s="36">
        <f t="shared" si="33"/>
        <v>216.10507005920951</v>
      </c>
      <c r="W115" s="36">
        <f t="shared" si="34"/>
        <v>261.90600000000001</v>
      </c>
      <c r="X115" s="230">
        <f t="shared" si="35"/>
        <v>0</v>
      </c>
      <c r="Y115" s="43">
        <f t="shared" si="35"/>
        <v>261.90600000000001</v>
      </c>
      <c r="Z115" s="47"/>
      <c r="AA115" s="47"/>
    </row>
    <row r="116" spans="1:27" s="117" customFormat="1" ht="9.9499999999999993" customHeight="1" x14ac:dyDescent="0.15">
      <c r="A116" s="144" t="s">
        <v>218</v>
      </c>
      <c r="B116" s="215">
        <v>0.15</v>
      </c>
      <c r="C116" s="145">
        <f t="shared" si="30"/>
        <v>81.039401272203548</v>
      </c>
      <c r="D116" s="41">
        <f t="shared" si="28"/>
        <v>81039.401272203555</v>
      </c>
      <c r="E116" s="200"/>
      <c r="F116" s="196">
        <f t="shared" si="23"/>
        <v>79.465000000000003</v>
      </c>
      <c r="G116" s="191">
        <f t="shared" si="24"/>
        <v>79465</v>
      </c>
      <c r="H116" s="36"/>
      <c r="I116" s="200"/>
      <c r="J116" s="230"/>
      <c r="K116" s="43">
        <f t="shared" si="29"/>
        <v>79.465000000000003</v>
      </c>
      <c r="L116" s="200">
        <v>79465</v>
      </c>
      <c r="M116" s="196">
        <f t="shared" si="27"/>
        <v>0</v>
      </c>
      <c r="N116" s="36"/>
      <c r="O116" s="43">
        <f t="shared" si="36"/>
        <v>0</v>
      </c>
      <c r="P116" s="191">
        <f t="shared" si="31"/>
        <v>0</v>
      </c>
      <c r="Q116" s="230">
        <v>0</v>
      </c>
      <c r="R116" s="43">
        <f t="shared" si="32"/>
        <v>0</v>
      </c>
      <c r="S116" s="200"/>
      <c r="T116" s="36"/>
      <c r="U116" s="210">
        <f t="shared" si="26"/>
        <v>81039.401272203555</v>
      </c>
      <c r="V116" s="36">
        <f>C116+M116</f>
        <v>81.039401272203548</v>
      </c>
      <c r="W116" s="36">
        <f t="shared" si="34"/>
        <v>79.465000000000003</v>
      </c>
      <c r="X116" s="230">
        <f t="shared" si="35"/>
        <v>0</v>
      </c>
      <c r="Y116" s="43">
        <f t="shared" si="35"/>
        <v>79.465000000000003</v>
      </c>
      <c r="Z116" s="47"/>
      <c r="AA116" s="47"/>
    </row>
    <row r="117" spans="1:27" s="117" customFormat="1" ht="9" hidden="1" customHeight="1" x14ac:dyDescent="0.15">
      <c r="A117" s="144"/>
      <c r="B117" s="215"/>
      <c r="C117" s="140"/>
      <c r="D117" s="41">
        <f t="shared" si="28"/>
        <v>0</v>
      </c>
      <c r="E117" s="200"/>
      <c r="F117" s="195">
        <f t="shared" si="23"/>
        <v>0</v>
      </c>
      <c r="G117" s="191">
        <f t="shared" si="24"/>
        <v>0</v>
      </c>
      <c r="H117" s="36"/>
      <c r="I117" s="200"/>
      <c r="J117" s="230"/>
      <c r="K117" s="41">
        <f t="shared" si="29"/>
        <v>0</v>
      </c>
      <c r="L117" s="200"/>
      <c r="M117" s="195">
        <f t="shared" si="27"/>
        <v>0</v>
      </c>
      <c r="N117" s="36"/>
      <c r="O117" s="43"/>
      <c r="P117" s="191">
        <f t="shared" si="31"/>
        <v>0</v>
      </c>
      <c r="Q117" s="230"/>
      <c r="R117" s="43"/>
      <c r="S117" s="200"/>
      <c r="T117" s="36"/>
      <c r="U117" s="210">
        <f t="shared" si="26"/>
        <v>0</v>
      </c>
      <c r="V117" s="36"/>
      <c r="W117" s="36"/>
      <c r="X117" s="230"/>
      <c r="Y117" s="41"/>
      <c r="Z117" s="47"/>
      <c r="AA117" s="47"/>
    </row>
    <row r="118" spans="1:27" s="179" customFormat="1" x14ac:dyDescent="0.15">
      <c r="A118" s="168" t="s">
        <v>84</v>
      </c>
      <c r="B118" s="216">
        <f>B119+B120+B121+B122+B124+B123</f>
        <v>7.4999999999999991</v>
      </c>
      <c r="C118" s="170">
        <f t="shared" ref="C118:C124" si="37">D118/1000</f>
        <v>4051.9700636101775</v>
      </c>
      <c r="D118" s="41">
        <f t="shared" si="28"/>
        <v>4051970.0636101775</v>
      </c>
      <c r="E118" s="191">
        <f>SUM(E119:E124)</f>
        <v>0</v>
      </c>
      <c r="F118" s="191">
        <f t="shared" si="23"/>
        <v>10875.24</v>
      </c>
      <c r="G118" s="191">
        <f t="shared" si="24"/>
        <v>10875240</v>
      </c>
      <c r="H118" s="171"/>
      <c r="I118" s="191">
        <f>SUM(I119:I124)</f>
        <v>6902000</v>
      </c>
      <c r="J118" s="191">
        <f>SUM(J119:J124)</f>
        <v>0</v>
      </c>
      <c r="K118" s="191">
        <f t="shared" si="29"/>
        <v>10875.24</v>
      </c>
      <c r="L118" s="191">
        <f>SUM(L119:L124)</f>
        <v>10875240</v>
      </c>
      <c r="M118" s="191">
        <f t="shared" si="27"/>
        <v>0</v>
      </c>
      <c r="N118" s="171">
        <f>N119+N120+N121+N122+N124</f>
        <v>0</v>
      </c>
      <c r="O118" s="171">
        <f t="shared" ref="O118:O124" si="38">P118/1000*-1</f>
        <v>-1000</v>
      </c>
      <c r="P118" s="191">
        <f t="shared" si="31"/>
        <v>1000000</v>
      </c>
      <c r="Q118" s="191">
        <f>Q119+Q120+Q121+Q122+Q124</f>
        <v>0</v>
      </c>
      <c r="R118" s="171">
        <f t="shared" ref="R118:R124" si="39">S118/1000*-1</f>
        <v>-1000</v>
      </c>
      <c r="S118" s="191">
        <f>SUM(S119:S125)</f>
        <v>1000000</v>
      </c>
      <c r="T118" s="176">
        <f>T119+T120+T121+T122+T124</f>
        <v>0</v>
      </c>
      <c r="U118" s="210">
        <f t="shared" si="26"/>
        <v>4051970.0636101775</v>
      </c>
      <c r="V118" s="173">
        <f t="shared" ref="V118:V124" si="40">C118+M118</f>
        <v>4051.9700636101775</v>
      </c>
      <c r="W118" s="173">
        <f t="shared" ref="W118:W124" si="41">F118+O118</f>
        <v>9875.24</v>
      </c>
      <c r="X118" s="198">
        <f>J118+Q118</f>
        <v>0</v>
      </c>
      <c r="Y118" s="171">
        <f t="shared" ref="Y118:Y124" si="42">K118+R118</f>
        <v>9875.24</v>
      </c>
      <c r="Z118" s="174"/>
      <c r="AA118" s="174"/>
    </row>
    <row r="119" spans="1:27" s="117" customFormat="1" ht="9.9499999999999993" customHeight="1" x14ac:dyDescent="0.15">
      <c r="A119" s="142" t="s">
        <v>219</v>
      </c>
      <c r="B119" s="212">
        <v>1</v>
      </c>
      <c r="C119" s="145">
        <f t="shared" si="37"/>
        <v>540.26267514802373</v>
      </c>
      <c r="D119" s="41">
        <f t="shared" si="28"/>
        <v>540262.67514802376</v>
      </c>
      <c r="E119" s="198"/>
      <c r="F119" s="196">
        <f t="shared" si="23"/>
        <v>1317.7650000000001</v>
      </c>
      <c r="G119" s="191">
        <f t="shared" si="24"/>
        <v>1317765</v>
      </c>
      <c r="H119" s="36"/>
      <c r="I119" s="200">
        <f>120000+20000+200000+200000+248000</f>
        <v>788000</v>
      </c>
      <c r="J119" s="230"/>
      <c r="K119" s="43">
        <f t="shared" si="29"/>
        <v>1317.7650000000001</v>
      </c>
      <c r="L119" s="198">
        <v>1317765</v>
      </c>
      <c r="M119" s="196">
        <f t="shared" si="27"/>
        <v>0</v>
      </c>
      <c r="N119" s="33"/>
      <c r="O119" s="43">
        <f t="shared" si="38"/>
        <v>0</v>
      </c>
      <c r="P119" s="191">
        <f>S119</f>
        <v>0</v>
      </c>
      <c r="Q119" s="230">
        <v>0</v>
      </c>
      <c r="R119" s="43">
        <f t="shared" si="39"/>
        <v>0</v>
      </c>
      <c r="S119" s="200"/>
      <c r="T119" s="36"/>
      <c r="U119" s="227">
        <f t="shared" si="26"/>
        <v>540262.67514802376</v>
      </c>
      <c r="V119" s="36">
        <f t="shared" si="40"/>
        <v>540.26267514802373</v>
      </c>
      <c r="W119" s="36">
        <f t="shared" si="41"/>
        <v>1317.7650000000001</v>
      </c>
      <c r="X119" s="230">
        <f t="shared" ref="X119:X124" si="43">J119+Q119</f>
        <v>0</v>
      </c>
      <c r="Y119" s="43">
        <f t="shared" si="42"/>
        <v>1317.7650000000001</v>
      </c>
      <c r="Z119" s="47"/>
      <c r="AA119" s="47"/>
    </row>
    <row r="120" spans="1:27" s="117" customFormat="1" ht="9.9499999999999993" customHeight="1" x14ac:dyDescent="0.15">
      <c r="A120" s="142" t="s">
        <v>220</v>
      </c>
      <c r="B120" s="212">
        <v>1.65</v>
      </c>
      <c r="C120" s="145">
        <f t="shared" si="37"/>
        <v>891.43341399423923</v>
      </c>
      <c r="D120" s="41">
        <f t="shared" si="28"/>
        <v>891433.41399423918</v>
      </c>
      <c r="E120" s="198"/>
      <c r="F120" s="196">
        <f t="shared" si="23"/>
        <v>1074.1130000000001</v>
      </c>
      <c r="G120" s="191">
        <f t="shared" si="24"/>
        <v>1074113</v>
      </c>
      <c r="H120" s="36"/>
      <c r="I120" s="200">
        <v>200000</v>
      </c>
      <c r="J120" s="230"/>
      <c r="K120" s="43">
        <f t="shared" si="29"/>
        <v>1074.1130000000001</v>
      </c>
      <c r="L120" s="198">
        <v>1074113</v>
      </c>
      <c r="M120" s="196">
        <f t="shared" si="27"/>
        <v>0</v>
      </c>
      <c r="N120" s="33"/>
      <c r="O120" s="43">
        <f t="shared" si="38"/>
        <v>0</v>
      </c>
      <c r="P120" s="191">
        <f t="shared" ref="P120:P145" si="44">S120</f>
        <v>0</v>
      </c>
      <c r="Q120" s="230">
        <v>0</v>
      </c>
      <c r="R120" s="43">
        <f t="shared" si="39"/>
        <v>0</v>
      </c>
      <c r="S120" s="200"/>
      <c r="T120" s="36"/>
      <c r="U120" s="227">
        <f t="shared" si="26"/>
        <v>891433.41399423918</v>
      </c>
      <c r="V120" s="36">
        <f t="shared" si="40"/>
        <v>891.43341399423923</v>
      </c>
      <c r="W120" s="36">
        <f t="shared" si="41"/>
        <v>1074.1130000000001</v>
      </c>
      <c r="X120" s="230">
        <f t="shared" si="43"/>
        <v>0</v>
      </c>
      <c r="Y120" s="43">
        <f t="shared" si="42"/>
        <v>1074.1130000000001</v>
      </c>
      <c r="Z120" s="47"/>
      <c r="AA120" s="47"/>
    </row>
    <row r="121" spans="1:27" s="117" customFormat="1" ht="9.9499999999999993" customHeight="1" x14ac:dyDescent="0.15">
      <c r="A121" s="142" t="s">
        <v>221</v>
      </c>
      <c r="B121" s="212">
        <v>2.0499999999999998</v>
      </c>
      <c r="C121" s="145">
        <f t="shared" si="37"/>
        <v>1107.5384840534484</v>
      </c>
      <c r="D121" s="41">
        <f t="shared" si="28"/>
        <v>1107538.4840534485</v>
      </c>
      <c r="E121" s="198"/>
      <c r="F121" s="196">
        <f t="shared" si="23"/>
        <v>1560.019</v>
      </c>
      <c r="G121" s="191">
        <f t="shared" si="24"/>
        <v>1560019</v>
      </c>
      <c r="H121" s="36"/>
      <c r="I121" s="200">
        <f>314000+160000</f>
        <v>474000</v>
      </c>
      <c r="J121" s="230"/>
      <c r="K121" s="43">
        <f t="shared" si="29"/>
        <v>1560.019</v>
      </c>
      <c r="L121" s="198">
        <v>1560019</v>
      </c>
      <c r="M121" s="196">
        <f t="shared" si="27"/>
        <v>0</v>
      </c>
      <c r="N121" s="33"/>
      <c r="O121" s="43">
        <f t="shared" si="38"/>
        <v>0</v>
      </c>
      <c r="P121" s="191">
        <f t="shared" si="44"/>
        <v>0</v>
      </c>
      <c r="Q121" s="230">
        <v>0</v>
      </c>
      <c r="R121" s="43">
        <f t="shared" si="39"/>
        <v>0</v>
      </c>
      <c r="S121" s="200"/>
      <c r="T121" s="36"/>
      <c r="U121" s="227">
        <f t="shared" si="26"/>
        <v>1107538.4840534485</v>
      </c>
      <c r="V121" s="36">
        <f t="shared" si="40"/>
        <v>1107.5384840534484</v>
      </c>
      <c r="W121" s="36">
        <f t="shared" si="41"/>
        <v>1560.019</v>
      </c>
      <c r="X121" s="230">
        <f t="shared" si="43"/>
        <v>0</v>
      </c>
      <c r="Y121" s="43">
        <f t="shared" si="42"/>
        <v>1560.019</v>
      </c>
      <c r="Z121" s="47"/>
      <c r="AA121" s="47"/>
    </row>
    <row r="122" spans="1:27" s="117" customFormat="1" ht="9.9499999999999993" customHeight="1" x14ac:dyDescent="0.15">
      <c r="A122" s="142" t="s">
        <v>222</v>
      </c>
      <c r="B122" s="212">
        <v>1.3</v>
      </c>
      <c r="C122" s="145">
        <f t="shared" si="37"/>
        <v>702.341477692431</v>
      </c>
      <c r="D122" s="41">
        <f t="shared" si="28"/>
        <v>702341.47769243096</v>
      </c>
      <c r="E122" s="198"/>
      <c r="F122" s="196">
        <f t="shared" si="23"/>
        <v>5728.6949999999997</v>
      </c>
      <c r="G122" s="191">
        <f t="shared" si="24"/>
        <v>5728695</v>
      </c>
      <c r="H122" s="36"/>
      <c r="I122" s="200">
        <v>5040000</v>
      </c>
      <c r="J122" s="230"/>
      <c r="K122" s="43">
        <f t="shared" si="29"/>
        <v>5728.6949999999997</v>
      </c>
      <c r="L122" s="198">
        <v>5728695</v>
      </c>
      <c r="M122" s="196">
        <f t="shared" si="27"/>
        <v>0</v>
      </c>
      <c r="N122" s="33"/>
      <c r="O122" s="43">
        <f t="shared" si="38"/>
        <v>-1000</v>
      </c>
      <c r="P122" s="191">
        <f t="shared" si="44"/>
        <v>1000000</v>
      </c>
      <c r="Q122" s="230"/>
      <c r="R122" s="43">
        <f t="shared" si="39"/>
        <v>-1000</v>
      </c>
      <c r="S122" s="200">
        <v>1000000</v>
      </c>
      <c r="T122" s="33"/>
      <c r="U122" s="210">
        <f t="shared" si="26"/>
        <v>702341.47769243096</v>
      </c>
      <c r="V122" s="36">
        <f t="shared" si="40"/>
        <v>702.341477692431</v>
      </c>
      <c r="W122" s="36">
        <f t="shared" si="41"/>
        <v>4728.6949999999997</v>
      </c>
      <c r="X122" s="230">
        <f t="shared" si="43"/>
        <v>0</v>
      </c>
      <c r="Y122" s="43">
        <f t="shared" si="42"/>
        <v>4728.6949999999997</v>
      </c>
      <c r="Z122" s="47"/>
      <c r="AA122" s="47"/>
    </row>
    <row r="123" spans="1:27" s="117" customFormat="1" ht="9.9499999999999993" customHeight="1" x14ac:dyDescent="0.15">
      <c r="A123" s="142" t="s">
        <v>223</v>
      </c>
      <c r="B123" s="212">
        <v>1.2</v>
      </c>
      <c r="C123" s="145">
        <f t="shared" si="37"/>
        <v>648.31521017762839</v>
      </c>
      <c r="D123" s="41">
        <f t="shared" si="28"/>
        <v>648315.21017762844</v>
      </c>
      <c r="E123" s="198"/>
      <c r="F123" s="196">
        <f t="shared" si="23"/>
        <v>1035.7180000000001</v>
      </c>
      <c r="G123" s="191">
        <f t="shared" si="24"/>
        <v>1035718</v>
      </c>
      <c r="H123" s="36"/>
      <c r="I123" s="200">
        <v>400000</v>
      </c>
      <c r="J123" s="230"/>
      <c r="K123" s="43">
        <f t="shared" si="29"/>
        <v>1035.7180000000001</v>
      </c>
      <c r="L123" s="198">
        <v>1035718</v>
      </c>
      <c r="M123" s="196">
        <f t="shared" si="27"/>
        <v>0</v>
      </c>
      <c r="N123" s="33"/>
      <c r="O123" s="41"/>
      <c r="P123" s="191">
        <f t="shared" si="44"/>
        <v>0</v>
      </c>
      <c r="Q123" s="231"/>
      <c r="R123" s="41"/>
      <c r="S123" s="198"/>
      <c r="T123" s="33"/>
      <c r="U123" s="210">
        <f t="shared" si="26"/>
        <v>648315.21017762844</v>
      </c>
      <c r="V123" s="36">
        <f t="shared" si="40"/>
        <v>648.31521017762839</v>
      </c>
      <c r="W123" s="36">
        <f t="shared" si="41"/>
        <v>1035.7180000000001</v>
      </c>
      <c r="X123" s="230">
        <f t="shared" si="43"/>
        <v>0</v>
      </c>
      <c r="Y123" s="43">
        <f t="shared" si="42"/>
        <v>1035.7180000000001</v>
      </c>
      <c r="Z123" s="47"/>
      <c r="AA123" s="47"/>
    </row>
    <row r="124" spans="1:27" s="117" customFormat="1" ht="9.9499999999999993" customHeight="1" x14ac:dyDescent="0.15">
      <c r="A124" s="142" t="s">
        <v>224</v>
      </c>
      <c r="B124" s="212">
        <v>0.3</v>
      </c>
      <c r="C124" s="145">
        <f t="shared" si="37"/>
        <v>162.0788025444071</v>
      </c>
      <c r="D124" s="41">
        <f t="shared" si="28"/>
        <v>162078.80254440711</v>
      </c>
      <c r="E124" s="198"/>
      <c r="F124" s="196">
        <f t="shared" si="23"/>
        <v>158.93</v>
      </c>
      <c r="G124" s="191">
        <f t="shared" si="24"/>
        <v>158930</v>
      </c>
      <c r="H124" s="36"/>
      <c r="I124" s="200"/>
      <c r="J124" s="230"/>
      <c r="K124" s="43">
        <f t="shared" si="29"/>
        <v>158.93</v>
      </c>
      <c r="L124" s="198">
        <v>158930</v>
      </c>
      <c r="M124" s="196">
        <f t="shared" si="27"/>
        <v>0</v>
      </c>
      <c r="N124" s="33"/>
      <c r="O124" s="43">
        <f t="shared" si="38"/>
        <v>0</v>
      </c>
      <c r="P124" s="191">
        <f t="shared" si="44"/>
        <v>0</v>
      </c>
      <c r="Q124" s="230">
        <v>0</v>
      </c>
      <c r="R124" s="43">
        <f t="shared" si="39"/>
        <v>0</v>
      </c>
      <c r="S124" s="198"/>
      <c r="T124" s="33"/>
      <c r="U124" s="210">
        <f t="shared" si="26"/>
        <v>162078.80254440711</v>
      </c>
      <c r="V124" s="36">
        <f t="shared" si="40"/>
        <v>162.0788025444071</v>
      </c>
      <c r="W124" s="36">
        <f t="shared" si="41"/>
        <v>158.93</v>
      </c>
      <c r="X124" s="230">
        <f t="shared" si="43"/>
        <v>0</v>
      </c>
      <c r="Y124" s="43">
        <f t="shared" si="42"/>
        <v>158.93</v>
      </c>
      <c r="Z124" s="47"/>
      <c r="AA124" s="47"/>
    </row>
    <row r="125" spans="1:27" s="117" customFormat="1" ht="9" hidden="1" customHeight="1" x14ac:dyDescent="0.15">
      <c r="A125" s="152"/>
      <c r="B125" s="212"/>
      <c r="C125" s="140"/>
      <c r="D125" s="41">
        <f t="shared" si="28"/>
        <v>0</v>
      </c>
      <c r="E125" s="198"/>
      <c r="F125" s="195">
        <f t="shared" si="23"/>
        <v>0</v>
      </c>
      <c r="G125" s="191">
        <f t="shared" si="24"/>
        <v>0</v>
      </c>
      <c r="H125" s="33"/>
      <c r="I125" s="198"/>
      <c r="J125" s="231"/>
      <c r="K125" s="41">
        <f t="shared" si="29"/>
        <v>0</v>
      </c>
      <c r="L125" s="198"/>
      <c r="M125" s="195">
        <f t="shared" si="27"/>
        <v>0</v>
      </c>
      <c r="N125" s="33"/>
      <c r="O125" s="41"/>
      <c r="P125" s="191">
        <f t="shared" si="44"/>
        <v>0</v>
      </c>
      <c r="Q125" s="231"/>
      <c r="R125" s="41"/>
      <c r="S125" s="198"/>
      <c r="T125" s="33"/>
      <c r="U125" s="210">
        <f t="shared" si="26"/>
        <v>0</v>
      </c>
      <c r="V125" s="33"/>
      <c r="W125" s="33"/>
      <c r="X125" s="230"/>
      <c r="Y125" s="41"/>
      <c r="Z125" s="47"/>
      <c r="AA125" s="47"/>
    </row>
    <row r="126" spans="1:27" s="179" customFormat="1" x14ac:dyDescent="0.15">
      <c r="A126" s="168" t="s">
        <v>85</v>
      </c>
      <c r="B126" s="216">
        <f>B127+B129+B128+B130</f>
        <v>7.2499999999999991</v>
      </c>
      <c r="C126" s="170">
        <f>D126/1000</f>
        <v>3916.9043948231715</v>
      </c>
      <c r="D126" s="41">
        <f t="shared" si="28"/>
        <v>3916904.3948231717</v>
      </c>
      <c r="E126" s="191">
        <f>SUM(E127:E130)</f>
        <v>0</v>
      </c>
      <c r="F126" s="191">
        <f t="shared" si="23"/>
        <v>16391.358</v>
      </c>
      <c r="G126" s="191">
        <f t="shared" si="24"/>
        <v>16391358</v>
      </c>
      <c r="H126" s="171"/>
      <c r="I126" s="191">
        <f>SUM(I127:I131)</f>
        <v>12550561</v>
      </c>
      <c r="J126" s="191">
        <f>SUM(J127:J130)</f>
        <v>0</v>
      </c>
      <c r="K126" s="191">
        <f t="shared" si="29"/>
        <v>16391.358</v>
      </c>
      <c r="L126" s="191">
        <f>SUM(L127:L131)</f>
        <v>16391358</v>
      </c>
      <c r="M126" s="191">
        <f t="shared" si="27"/>
        <v>0</v>
      </c>
      <c r="N126" s="171">
        <f>N127+N129+N128+N130</f>
        <v>0</v>
      </c>
      <c r="O126" s="171">
        <f>P126/1000*-1</f>
        <v>-62380.491999999998</v>
      </c>
      <c r="P126" s="191">
        <f t="shared" si="44"/>
        <v>62380492</v>
      </c>
      <c r="Q126" s="191">
        <f>SUM(Q127:Q130)</f>
        <v>0</v>
      </c>
      <c r="R126" s="171">
        <f>S126/1000*-1</f>
        <v>-62380.491999999998</v>
      </c>
      <c r="S126" s="191">
        <f>SUM(S127:S131)</f>
        <v>62380492</v>
      </c>
      <c r="T126" s="171">
        <f>SUM(T127:T131)</f>
        <v>0</v>
      </c>
      <c r="U126" s="210">
        <f t="shared" si="26"/>
        <v>3916904.3948231717</v>
      </c>
      <c r="V126" s="173">
        <f>C126+M126</f>
        <v>3916.9043948231715</v>
      </c>
      <c r="W126" s="173">
        <f>F126+O126</f>
        <v>-45989.133999999998</v>
      </c>
      <c r="X126" s="198">
        <f t="shared" ref="X126:Y130" si="45">J126+Q126</f>
        <v>0</v>
      </c>
      <c r="Y126" s="171">
        <f t="shared" si="45"/>
        <v>-45989.133999999998</v>
      </c>
      <c r="Z126" s="174"/>
      <c r="AA126" s="174"/>
    </row>
    <row r="127" spans="1:27" s="118" customFormat="1" ht="9.9499999999999993" customHeight="1" x14ac:dyDescent="0.15">
      <c r="A127" s="152" t="s">
        <v>225</v>
      </c>
      <c r="B127" s="212">
        <v>3</v>
      </c>
      <c r="C127" s="145">
        <f>D127/1000</f>
        <v>1620.7880254440713</v>
      </c>
      <c r="D127" s="43">
        <f t="shared" si="28"/>
        <v>1620788.0254440713</v>
      </c>
      <c r="E127" s="200"/>
      <c r="F127" s="196">
        <f t="shared" si="23"/>
        <v>6231.2550000000001</v>
      </c>
      <c r="G127" s="191">
        <f t="shared" si="24"/>
        <v>6231255</v>
      </c>
      <c r="H127" s="36"/>
      <c r="I127" s="200">
        <f>L127-1589295</f>
        <v>4641960</v>
      </c>
      <c r="J127" s="230"/>
      <c r="K127" s="43">
        <f t="shared" si="29"/>
        <v>6231.2550000000001</v>
      </c>
      <c r="L127" s="200">
        <v>6231255</v>
      </c>
      <c r="M127" s="196">
        <f t="shared" si="27"/>
        <v>0</v>
      </c>
      <c r="N127" s="36"/>
      <c r="O127" s="43">
        <f>P127/1000*-1</f>
        <v>-52780.491999999998</v>
      </c>
      <c r="P127" s="191">
        <f t="shared" si="44"/>
        <v>52780492</v>
      </c>
      <c r="Q127" s="230"/>
      <c r="R127" s="43">
        <f>S127/1000*-1</f>
        <v>-52780.491999999998</v>
      </c>
      <c r="S127" s="200">
        <v>52780492</v>
      </c>
      <c r="T127" s="36"/>
      <c r="U127" s="227">
        <f t="shared" si="26"/>
        <v>1620788.0254440713</v>
      </c>
      <c r="V127" s="36">
        <f>C127+M127</f>
        <v>1620.7880254440713</v>
      </c>
      <c r="W127" s="36">
        <f>F127+O127</f>
        <v>-46549.237000000001</v>
      </c>
      <c r="X127" s="230">
        <f t="shared" si="45"/>
        <v>0</v>
      </c>
      <c r="Y127" s="43">
        <f t="shared" si="45"/>
        <v>-46549.237000000001</v>
      </c>
      <c r="Z127" s="47"/>
      <c r="AA127" s="47"/>
    </row>
    <row r="128" spans="1:27" s="118" customFormat="1" ht="9.9499999999999993" customHeight="1" x14ac:dyDescent="0.15">
      <c r="A128" s="152" t="s">
        <v>226</v>
      </c>
      <c r="B128" s="212">
        <v>2.4</v>
      </c>
      <c r="C128" s="145">
        <f>D128/1000</f>
        <v>1296.6304203552568</v>
      </c>
      <c r="D128" s="43">
        <f t="shared" si="28"/>
        <v>1296630.4203552569</v>
      </c>
      <c r="E128" s="200"/>
      <c r="F128" s="196">
        <f t="shared" si="23"/>
        <v>6197.607</v>
      </c>
      <c r="G128" s="191">
        <f t="shared" si="24"/>
        <v>6197607</v>
      </c>
      <c r="H128" s="36"/>
      <c r="I128" s="200">
        <f>L128-1271436</f>
        <v>4926171</v>
      </c>
      <c r="J128" s="230"/>
      <c r="K128" s="43">
        <f t="shared" si="29"/>
        <v>6197.607</v>
      </c>
      <c r="L128" s="200">
        <v>6197607</v>
      </c>
      <c r="M128" s="196">
        <f t="shared" si="27"/>
        <v>0</v>
      </c>
      <c r="N128" s="36"/>
      <c r="O128" s="43">
        <f>P128/1000*-1</f>
        <v>0</v>
      </c>
      <c r="P128" s="191">
        <f t="shared" si="44"/>
        <v>0</v>
      </c>
      <c r="Q128" s="230">
        <v>0</v>
      </c>
      <c r="R128" s="43">
        <f>S128/1000*-1</f>
        <v>0</v>
      </c>
      <c r="S128" s="200"/>
      <c r="T128" s="36"/>
      <c r="U128" s="227">
        <f t="shared" si="26"/>
        <v>1296630.4203552569</v>
      </c>
      <c r="V128" s="36">
        <f>C128+M128</f>
        <v>1296.6304203552568</v>
      </c>
      <c r="W128" s="36">
        <f>F128+O128</f>
        <v>6197.607</v>
      </c>
      <c r="X128" s="230">
        <f t="shared" si="45"/>
        <v>0</v>
      </c>
      <c r="Y128" s="43">
        <f t="shared" si="45"/>
        <v>6197.607</v>
      </c>
      <c r="Z128" s="47"/>
      <c r="AA128" s="47"/>
    </row>
    <row r="129" spans="1:27" s="118" customFormat="1" ht="9.9499999999999993" customHeight="1" x14ac:dyDescent="0.15">
      <c r="A129" s="152" t="s">
        <v>227</v>
      </c>
      <c r="B129" s="212">
        <v>0.55000000000000004</v>
      </c>
      <c r="C129" s="145">
        <f>D129/1000</f>
        <v>297.14447133141306</v>
      </c>
      <c r="D129" s="43">
        <f t="shared" si="28"/>
        <v>297144.47133141308</v>
      </c>
      <c r="E129" s="200"/>
      <c r="F129" s="196">
        <f t="shared" si="23"/>
        <v>1387.501</v>
      </c>
      <c r="G129" s="191">
        <f t="shared" si="24"/>
        <v>1387501</v>
      </c>
      <c r="H129" s="36"/>
      <c r="I129" s="200">
        <f>L129-291371</f>
        <v>1096130</v>
      </c>
      <c r="J129" s="230"/>
      <c r="K129" s="43">
        <f t="shared" si="29"/>
        <v>1387.501</v>
      </c>
      <c r="L129" s="200">
        <v>1387501</v>
      </c>
      <c r="M129" s="196">
        <f>T129/1000*-1</f>
        <v>0</v>
      </c>
      <c r="N129" s="36"/>
      <c r="O129" s="43">
        <f>P129/1000*-1</f>
        <v>-6700</v>
      </c>
      <c r="P129" s="191">
        <f t="shared" si="44"/>
        <v>6700000</v>
      </c>
      <c r="Q129" s="230"/>
      <c r="R129" s="43">
        <f>S129/1000*-1</f>
        <v>-6700</v>
      </c>
      <c r="S129" s="200">
        <v>6700000</v>
      </c>
      <c r="T129" s="36"/>
      <c r="U129" s="227">
        <f t="shared" si="26"/>
        <v>297144.47133141308</v>
      </c>
      <c r="V129" s="36">
        <f>C129+M129</f>
        <v>297.14447133141306</v>
      </c>
      <c r="W129" s="36">
        <f>F129+O129</f>
        <v>-5312.4989999999998</v>
      </c>
      <c r="X129" s="230">
        <f t="shared" si="45"/>
        <v>0</v>
      </c>
      <c r="Y129" s="43">
        <f t="shared" si="45"/>
        <v>-5312.4989999999998</v>
      </c>
      <c r="Z129" s="47"/>
      <c r="AA129" s="47"/>
    </row>
    <row r="130" spans="1:27" s="118" customFormat="1" ht="9.9499999999999993" customHeight="1" x14ac:dyDescent="0.15">
      <c r="A130" s="152" t="s">
        <v>228</v>
      </c>
      <c r="B130" s="212">
        <v>1.3</v>
      </c>
      <c r="C130" s="145">
        <f>D130/1000</f>
        <v>702.341477692431</v>
      </c>
      <c r="D130" s="43">
        <f t="shared" si="28"/>
        <v>702341.47769243096</v>
      </c>
      <c r="E130" s="200"/>
      <c r="F130" s="196">
        <f t="shared" si="23"/>
        <v>2574.9949999999999</v>
      </c>
      <c r="G130" s="191">
        <f t="shared" si="24"/>
        <v>2574995</v>
      </c>
      <c r="H130" s="36"/>
      <c r="I130" s="200">
        <f>L130-688695</f>
        <v>1886300</v>
      </c>
      <c r="J130" s="230"/>
      <c r="K130" s="43">
        <f t="shared" si="29"/>
        <v>2574.9949999999999</v>
      </c>
      <c r="L130" s="200">
        <v>2574995</v>
      </c>
      <c r="M130" s="196">
        <f t="shared" ref="M130:M145" si="46">T130/1000*-1</f>
        <v>0</v>
      </c>
      <c r="N130" s="36"/>
      <c r="O130" s="43">
        <f>P130/1000*-1</f>
        <v>-2900</v>
      </c>
      <c r="P130" s="191">
        <f t="shared" si="44"/>
        <v>2900000</v>
      </c>
      <c r="Q130" s="230"/>
      <c r="R130" s="43">
        <f>S130/1000*-1</f>
        <v>-2900</v>
      </c>
      <c r="S130" s="200">
        <v>2900000</v>
      </c>
      <c r="T130" s="36"/>
      <c r="U130" s="227">
        <f t="shared" si="26"/>
        <v>702341.47769243096</v>
      </c>
      <c r="V130" s="36">
        <f>C130+M130</f>
        <v>702.341477692431</v>
      </c>
      <c r="W130" s="36">
        <f>F130+O130</f>
        <v>-325.00500000000011</v>
      </c>
      <c r="X130" s="230">
        <f t="shared" si="45"/>
        <v>0</v>
      </c>
      <c r="Y130" s="43">
        <f t="shared" si="45"/>
        <v>-325.00500000000011</v>
      </c>
      <c r="Z130" s="47"/>
      <c r="AA130" s="47"/>
    </row>
    <row r="131" spans="1:27" s="118" customFormat="1" ht="9" hidden="1" customHeight="1" x14ac:dyDescent="0.15">
      <c r="A131" s="152"/>
      <c r="B131" s="212"/>
      <c r="C131" s="140"/>
      <c r="D131" s="41">
        <f t="shared" si="28"/>
        <v>0</v>
      </c>
      <c r="E131" s="198"/>
      <c r="F131" s="195">
        <f t="shared" si="23"/>
        <v>0</v>
      </c>
      <c r="G131" s="191">
        <f t="shared" si="24"/>
        <v>0</v>
      </c>
      <c r="H131" s="33"/>
      <c r="I131" s="198"/>
      <c r="J131" s="231"/>
      <c r="K131" s="41">
        <f t="shared" si="29"/>
        <v>0</v>
      </c>
      <c r="L131" s="198"/>
      <c r="M131" s="195">
        <f t="shared" si="46"/>
        <v>0</v>
      </c>
      <c r="N131" s="33"/>
      <c r="O131" s="41"/>
      <c r="P131" s="191">
        <f t="shared" si="44"/>
        <v>0</v>
      </c>
      <c r="Q131" s="231"/>
      <c r="R131" s="41"/>
      <c r="S131" s="198"/>
      <c r="T131" s="33"/>
      <c r="U131" s="210">
        <f t="shared" si="26"/>
        <v>0</v>
      </c>
      <c r="V131" s="33"/>
      <c r="W131" s="33"/>
      <c r="X131" s="230"/>
      <c r="Y131" s="41"/>
      <c r="Z131" s="47"/>
      <c r="AA131" s="47"/>
    </row>
    <row r="132" spans="1:27" s="184" customFormat="1" x14ac:dyDescent="0.15">
      <c r="A132" s="183" t="s">
        <v>86</v>
      </c>
      <c r="B132" s="216">
        <f>B133+B134+B135+B136+B137+B138</f>
        <v>7.91</v>
      </c>
      <c r="C132" s="170">
        <f t="shared" ref="C132:C138" si="47">D132/1000</f>
        <v>4273.4777604208684</v>
      </c>
      <c r="D132" s="41">
        <f t="shared" si="28"/>
        <v>4273477.7604208682</v>
      </c>
      <c r="E132" s="191">
        <f>SUM(E133:E138)</f>
        <v>0</v>
      </c>
      <c r="F132" s="191">
        <f t="shared" si="23"/>
        <v>12378.941999999999</v>
      </c>
      <c r="G132" s="191">
        <f t="shared" si="24"/>
        <v>12378942</v>
      </c>
      <c r="H132" s="171"/>
      <c r="I132" s="191">
        <f>SUM(I133:I138)</f>
        <v>8188500</v>
      </c>
      <c r="J132" s="191">
        <f>SUM(J133:J138)</f>
        <v>0</v>
      </c>
      <c r="K132" s="191">
        <f t="shared" si="29"/>
        <v>12378.941999999999</v>
      </c>
      <c r="L132" s="191">
        <f>SUM(L133:L139)</f>
        <v>12378942</v>
      </c>
      <c r="M132" s="191">
        <f t="shared" si="46"/>
        <v>0</v>
      </c>
      <c r="N132" s="191">
        <f>N133+N134+N135+N136+N137+N138</f>
        <v>0</v>
      </c>
      <c r="O132" s="191">
        <f t="shared" ref="O132:O138" si="48">P132/1000*-1</f>
        <v>0</v>
      </c>
      <c r="P132" s="191">
        <f t="shared" si="44"/>
        <v>0</v>
      </c>
      <c r="Q132" s="191">
        <v>0</v>
      </c>
      <c r="R132" s="171">
        <f t="shared" ref="R132:R138" si="49">S132/1000*-1</f>
        <v>0</v>
      </c>
      <c r="S132" s="191">
        <f>SUM(S133:S139)</f>
        <v>0</v>
      </c>
      <c r="T132" s="171">
        <f>T133+T134+T135+T136+T137+T138</f>
        <v>0</v>
      </c>
      <c r="U132" s="210">
        <f t="shared" si="26"/>
        <v>4273477.7604208682</v>
      </c>
      <c r="V132" s="173">
        <f t="shared" ref="V132:V138" si="50">C132+M132</f>
        <v>4273.4777604208684</v>
      </c>
      <c r="W132" s="173">
        <f t="shared" ref="W132:W138" si="51">F132+O132</f>
        <v>12378.941999999999</v>
      </c>
      <c r="X132" s="198">
        <f t="shared" ref="X132:Y138" si="52">J132+Q132</f>
        <v>0</v>
      </c>
      <c r="Y132" s="171">
        <f t="shared" si="52"/>
        <v>12378.941999999999</v>
      </c>
      <c r="Z132" s="174"/>
      <c r="AA132" s="174"/>
    </row>
    <row r="133" spans="1:27" s="118" customFormat="1" ht="9.9499999999999993" customHeight="1" x14ac:dyDescent="0.15">
      <c r="A133" s="142" t="s">
        <v>229</v>
      </c>
      <c r="B133" s="212">
        <v>0.65</v>
      </c>
      <c r="C133" s="145">
        <f t="shared" si="47"/>
        <v>351.1707388462155</v>
      </c>
      <c r="D133" s="43">
        <f t="shared" si="28"/>
        <v>351170.73884621548</v>
      </c>
      <c r="E133" s="200"/>
      <c r="F133" s="196">
        <f t="shared" si="23"/>
        <v>1205.3240000000001</v>
      </c>
      <c r="G133" s="191">
        <f t="shared" si="24"/>
        <v>1205324</v>
      </c>
      <c r="H133" s="36"/>
      <c r="I133" s="200">
        <f>L133-397324</f>
        <v>808000</v>
      </c>
      <c r="J133" s="230"/>
      <c r="K133" s="43">
        <f t="shared" si="29"/>
        <v>1205.3240000000001</v>
      </c>
      <c r="L133" s="200">
        <v>1205324</v>
      </c>
      <c r="M133" s="196">
        <f t="shared" si="46"/>
        <v>0</v>
      </c>
      <c r="N133" s="36"/>
      <c r="O133" s="43">
        <f t="shared" si="48"/>
        <v>0</v>
      </c>
      <c r="P133" s="191">
        <f t="shared" si="44"/>
        <v>0</v>
      </c>
      <c r="Q133" s="230">
        <v>0</v>
      </c>
      <c r="R133" s="43">
        <f t="shared" si="49"/>
        <v>0</v>
      </c>
      <c r="S133" s="200"/>
      <c r="T133" s="36"/>
      <c r="U133" s="227">
        <f t="shared" si="26"/>
        <v>351170.73884621548</v>
      </c>
      <c r="V133" s="36">
        <f t="shared" si="50"/>
        <v>351.1707388462155</v>
      </c>
      <c r="W133" s="36">
        <f t="shared" si="51"/>
        <v>1205.3240000000001</v>
      </c>
      <c r="X133" s="230">
        <f t="shared" si="52"/>
        <v>0</v>
      </c>
      <c r="Y133" s="43">
        <f t="shared" si="52"/>
        <v>1205.3240000000001</v>
      </c>
      <c r="Z133" s="47"/>
      <c r="AA133" s="47"/>
    </row>
    <row r="134" spans="1:27" s="118" customFormat="1" ht="9.9499999999999993" customHeight="1" x14ac:dyDescent="0.15">
      <c r="A134" s="142" t="s">
        <v>230</v>
      </c>
      <c r="B134" s="212">
        <v>0.45</v>
      </c>
      <c r="C134" s="145">
        <f t="shared" si="47"/>
        <v>243.1182038166107</v>
      </c>
      <c r="D134" s="43">
        <f t="shared" si="28"/>
        <v>243118.20381661071</v>
      </c>
      <c r="E134" s="200"/>
      <c r="F134" s="196">
        <f t="shared" si="23"/>
        <v>1603.394</v>
      </c>
      <c r="G134" s="191">
        <f t="shared" si="24"/>
        <v>1603394</v>
      </c>
      <c r="H134" s="36"/>
      <c r="I134" s="200">
        <f>L134-238394</f>
        <v>1365000</v>
      </c>
      <c r="J134" s="230"/>
      <c r="K134" s="43">
        <f t="shared" si="29"/>
        <v>1603.394</v>
      </c>
      <c r="L134" s="200">
        <v>1603394</v>
      </c>
      <c r="M134" s="196">
        <f t="shared" si="46"/>
        <v>0</v>
      </c>
      <c r="N134" s="36"/>
      <c r="O134" s="43">
        <f t="shared" si="48"/>
        <v>0</v>
      </c>
      <c r="P134" s="191">
        <f t="shared" si="44"/>
        <v>0</v>
      </c>
      <c r="Q134" s="230">
        <v>0</v>
      </c>
      <c r="R134" s="43">
        <f t="shared" si="49"/>
        <v>0</v>
      </c>
      <c r="S134" s="200"/>
      <c r="T134" s="36"/>
      <c r="U134" s="227">
        <f t="shared" si="26"/>
        <v>243118.20381661071</v>
      </c>
      <c r="V134" s="36">
        <f t="shared" si="50"/>
        <v>243.1182038166107</v>
      </c>
      <c r="W134" s="36">
        <f t="shared" si="51"/>
        <v>1603.394</v>
      </c>
      <c r="X134" s="230">
        <f t="shared" si="52"/>
        <v>0</v>
      </c>
      <c r="Y134" s="43">
        <f t="shared" si="52"/>
        <v>1603.394</v>
      </c>
      <c r="Z134" s="47"/>
      <c r="AA134" s="47"/>
    </row>
    <row r="135" spans="1:27" s="118" customFormat="1" ht="9.9499999999999993" customHeight="1" x14ac:dyDescent="0.15">
      <c r="A135" s="142" t="s">
        <v>231</v>
      </c>
      <c r="B135" s="212">
        <v>0.8</v>
      </c>
      <c r="C135" s="145">
        <f t="shared" si="47"/>
        <v>432.21014011841902</v>
      </c>
      <c r="D135" s="43">
        <f t="shared" si="28"/>
        <v>432210.14011841902</v>
      </c>
      <c r="E135" s="200"/>
      <c r="F135" s="196">
        <f t="shared" si="23"/>
        <v>397.32400000000001</v>
      </c>
      <c r="G135" s="191">
        <f t="shared" si="24"/>
        <v>397324</v>
      </c>
      <c r="H135" s="36"/>
      <c r="I135" s="200"/>
      <c r="J135" s="230"/>
      <c r="K135" s="43">
        <f t="shared" si="29"/>
        <v>397.32400000000001</v>
      </c>
      <c r="L135" s="200">
        <v>397324</v>
      </c>
      <c r="M135" s="196">
        <f t="shared" si="46"/>
        <v>0</v>
      </c>
      <c r="N135" s="36"/>
      <c r="O135" s="43">
        <f t="shared" si="48"/>
        <v>0</v>
      </c>
      <c r="P135" s="191">
        <f t="shared" si="44"/>
        <v>0</v>
      </c>
      <c r="Q135" s="230">
        <v>0</v>
      </c>
      <c r="R135" s="43">
        <f t="shared" si="49"/>
        <v>0</v>
      </c>
      <c r="S135" s="200"/>
      <c r="T135" s="36"/>
      <c r="U135" s="227">
        <f t="shared" si="26"/>
        <v>432210.14011841902</v>
      </c>
      <c r="V135" s="36">
        <f t="shared" si="50"/>
        <v>432.21014011841902</v>
      </c>
      <c r="W135" s="36">
        <f t="shared" si="51"/>
        <v>397.32400000000001</v>
      </c>
      <c r="X135" s="230">
        <f t="shared" si="52"/>
        <v>0</v>
      </c>
      <c r="Y135" s="43">
        <f t="shared" si="52"/>
        <v>397.32400000000001</v>
      </c>
      <c r="Z135" s="47"/>
      <c r="AA135" s="47"/>
    </row>
    <row r="136" spans="1:27" s="118" customFormat="1" ht="9.9499999999999993" customHeight="1" x14ac:dyDescent="0.15">
      <c r="A136" s="142" t="s">
        <v>232</v>
      </c>
      <c r="B136" s="212">
        <v>2.76</v>
      </c>
      <c r="C136" s="145">
        <f t="shared" si="47"/>
        <v>1491.1249834085454</v>
      </c>
      <c r="D136" s="43">
        <f t="shared" si="28"/>
        <v>1491124.9834085454</v>
      </c>
      <c r="E136" s="200"/>
      <c r="F136" s="196">
        <f t="shared" si="23"/>
        <v>3223.652</v>
      </c>
      <c r="G136" s="191">
        <f t="shared" si="24"/>
        <v>3223652</v>
      </c>
      <c r="H136" s="36"/>
      <c r="I136" s="200">
        <f>L136-1462152</f>
        <v>1761500</v>
      </c>
      <c r="J136" s="230"/>
      <c r="K136" s="43">
        <f t="shared" si="29"/>
        <v>3223.652</v>
      </c>
      <c r="L136" s="200">
        <v>3223652</v>
      </c>
      <c r="M136" s="196">
        <f t="shared" si="46"/>
        <v>0</v>
      </c>
      <c r="N136" s="36"/>
      <c r="O136" s="43">
        <f t="shared" si="48"/>
        <v>0</v>
      </c>
      <c r="P136" s="191">
        <f t="shared" si="44"/>
        <v>0</v>
      </c>
      <c r="Q136" s="230">
        <v>0</v>
      </c>
      <c r="R136" s="43">
        <f t="shared" si="49"/>
        <v>0</v>
      </c>
      <c r="S136" s="200"/>
      <c r="T136" s="36"/>
      <c r="U136" s="227">
        <f t="shared" si="26"/>
        <v>1491124.9834085454</v>
      </c>
      <c r="V136" s="36">
        <f t="shared" si="50"/>
        <v>1491.1249834085454</v>
      </c>
      <c r="W136" s="36">
        <f t="shared" si="51"/>
        <v>3223.652</v>
      </c>
      <c r="X136" s="230">
        <f t="shared" si="52"/>
        <v>0</v>
      </c>
      <c r="Y136" s="43">
        <f t="shared" si="52"/>
        <v>3223.652</v>
      </c>
      <c r="Z136" s="47"/>
      <c r="AA136" s="47"/>
    </row>
    <row r="137" spans="1:27" s="118" customFormat="1" ht="9.9499999999999993" customHeight="1" x14ac:dyDescent="0.15">
      <c r="A137" s="142" t="s">
        <v>233</v>
      </c>
      <c r="B137" s="212">
        <v>1.65</v>
      </c>
      <c r="C137" s="145">
        <f t="shared" si="47"/>
        <v>891.43341399423923</v>
      </c>
      <c r="D137" s="43">
        <f t="shared" si="28"/>
        <v>891433.41399423918</v>
      </c>
      <c r="E137" s="200"/>
      <c r="F137" s="196">
        <f t="shared" si="23"/>
        <v>3241.6239999999998</v>
      </c>
      <c r="G137" s="191">
        <f t="shared" si="24"/>
        <v>3241624</v>
      </c>
      <c r="H137" s="36"/>
      <c r="I137" s="200">
        <f>L137-847624</f>
        <v>2394000</v>
      </c>
      <c r="J137" s="230"/>
      <c r="K137" s="43">
        <f t="shared" si="29"/>
        <v>3241.6239999999998</v>
      </c>
      <c r="L137" s="200">
        <v>3241624</v>
      </c>
      <c r="M137" s="196">
        <f t="shared" si="46"/>
        <v>0</v>
      </c>
      <c r="N137" s="36"/>
      <c r="O137" s="43">
        <f t="shared" si="48"/>
        <v>0</v>
      </c>
      <c r="P137" s="191">
        <f t="shared" si="44"/>
        <v>0</v>
      </c>
      <c r="Q137" s="230"/>
      <c r="R137" s="43">
        <f t="shared" si="49"/>
        <v>0</v>
      </c>
      <c r="S137" s="200"/>
      <c r="T137" s="36"/>
      <c r="U137" s="227">
        <f t="shared" si="26"/>
        <v>891433.41399423918</v>
      </c>
      <c r="V137" s="36">
        <f t="shared" si="50"/>
        <v>891.43341399423923</v>
      </c>
      <c r="W137" s="36">
        <f t="shared" si="51"/>
        <v>3241.6239999999998</v>
      </c>
      <c r="X137" s="230">
        <f t="shared" si="52"/>
        <v>0</v>
      </c>
      <c r="Y137" s="43">
        <f t="shared" si="52"/>
        <v>3241.6239999999998</v>
      </c>
      <c r="Z137" s="47"/>
      <c r="AA137" s="47"/>
    </row>
    <row r="138" spans="1:27" s="118" customFormat="1" ht="9.9499999999999993" customHeight="1" x14ac:dyDescent="0.15">
      <c r="A138" s="142" t="s">
        <v>234</v>
      </c>
      <c r="B138" s="212">
        <v>1.6</v>
      </c>
      <c r="C138" s="145">
        <f t="shared" si="47"/>
        <v>864.42028023683804</v>
      </c>
      <c r="D138" s="43">
        <f t="shared" si="28"/>
        <v>864420.28023683804</v>
      </c>
      <c r="E138" s="200"/>
      <c r="F138" s="196">
        <f t="shared" ref="F138:F145" si="53">G138/1000</f>
        <v>2707.6239999999998</v>
      </c>
      <c r="G138" s="191">
        <f t="shared" ref="G138:G145" si="54">L138</f>
        <v>2707624</v>
      </c>
      <c r="H138" s="36"/>
      <c r="I138" s="200">
        <f>L138-847624</f>
        <v>1860000</v>
      </c>
      <c r="J138" s="230"/>
      <c r="K138" s="43">
        <f t="shared" si="29"/>
        <v>2707.6239999999998</v>
      </c>
      <c r="L138" s="200">
        <v>2707624</v>
      </c>
      <c r="M138" s="196">
        <f t="shared" si="46"/>
        <v>0</v>
      </c>
      <c r="N138" s="36"/>
      <c r="O138" s="43">
        <f t="shared" si="48"/>
        <v>0</v>
      </c>
      <c r="P138" s="191">
        <f t="shared" si="44"/>
        <v>0</v>
      </c>
      <c r="Q138" s="230">
        <v>0</v>
      </c>
      <c r="R138" s="43">
        <f t="shared" si="49"/>
        <v>0</v>
      </c>
      <c r="S138" s="200"/>
      <c r="T138" s="36"/>
      <c r="U138" s="227">
        <f t="shared" ref="U138:U144" si="55">$U$8/$B$8*B138</f>
        <v>864420.28023683804</v>
      </c>
      <c r="V138" s="36">
        <f t="shared" si="50"/>
        <v>864.42028023683804</v>
      </c>
      <c r="W138" s="36">
        <f t="shared" si="51"/>
        <v>2707.6239999999998</v>
      </c>
      <c r="X138" s="230">
        <f>J138+Q138</f>
        <v>0</v>
      </c>
      <c r="Y138" s="43">
        <f t="shared" si="52"/>
        <v>2707.6239999999998</v>
      </c>
      <c r="Z138" s="47"/>
      <c r="AA138" s="47"/>
    </row>
    <row r="139" spans="1:27" s="118" customFormat="1" ht="9" hidden="1" customHeight="1" x14ac:dyDescent="0.15">
      <c r="A139" s="147"/>
      <c r="B139" s="214"/>
      <c r="C139" s="140"/>
      <c r="D139" s="41">
        <f t="shared" si="28"/>
        <v>0</v>
      </c>
      <c r="E139" s="198"/>
      <c r="F139" s="195">
        <f t="shared" si="53"/>
        <v>0</v>
      </c>
      <c r="G139" s="191">
        <f t="shared" si="54"/>
        <v>0</v>
      </c>
      <c r="H139" s="33"/>
      <c r="I139" s="198"/>
      <c r="J139" s="231"/>
      <c r="K139" s="41">
        <f t="shared" si="29"/>
        <v>0</v>
      </c>
      <c r="L139" s="198"/>
      <c r="M139" s="195">
        <f t="shared" si="46"/>
        <v>0</v>
      </c>
      <c r="N139" s="33"/>
      <c r="O139" s="41"/>
      <c r="P139" s="191">
        <f t="shared" si="44"/>
        <v>0</v>
      </c>
      <c r="Q139" s="231"/>
      <c r="R139" s="41"/>
      <c r="S139" s="198"/>
      <c r="T139" s="33"/>
      <c r="U139" s="210">
        <f t="shared" si="55"/>
        <v>0</v>
      </c>
      <c r="V139" s="33"/>
      <c r="W139" s="33"/>
      <c r="X139" s="230"/>
      <c r="Y139" s="41"/>
      <c r="Z139" s="47"/>
      <c r="AA139" s="47"/>
    </row>
    <row r="140" spans="1:27" s="179" customFormat="1" x14ac:dyDescent="0.15">
      <c r="A140" s="168" t="s">
        <v>87</v>
      </c>
      <c r="B140" s="216">
        <f>B141</f>
        <v>0.05</v>
      </c>
      <c r="C140" s="170">
        <f>D140/1000</f>
        <v>27.013133757401189</v>
      </c>
      <c r="D140" s="191">
        <f t="shared" si="28"/>
        <v>27013.133757401189</v>
      </c>
      <c r="E140" s="191">
        <f>SUM(E141:E142)</f>
        <v>0</v>
      </c>
      <c r="F140" s="191">
        <f t="shared" si="53"/>
        <v>26.488</v>
      </c>
      <c r="G140" s="191">
        <f t="shared" si="54"/>
        <v>26488</v>
      </c>
      <c r="H140" s="171"/>
      <c r="I140" s="191">
        <f>I141</f>
        <v>0</v>
      </c>
      <c r="J140" s="191">
        <v>0</v>
      </c>
      <c r="K140" s="191">
        <f t="shared" si="29"/>
        <v>26.488</v>
      </c>
      <c r="L140" s="191">
        <f>L141</f>
        <v>26488</v>
      </c>
      <c r="M140" s="191">
        <f t="shared" si="46"/>
        <v>0</v>
      </c>
      <c r="N140" s="171">
        <f>N141</f>
        <v>0</v>
      </c>
      <c r="O140" s="171">
        <f>P140/1000*-1</f>
        <v>-3600</v>
      </c>
      <c r="P140" s="191">
        <f t="shared" si="44"/>
        <v>3600000</v>
      </c>
      <c r="Q140" s="191">
        <f>Q141</f>
        <v>0</v>
      </c>
      <c r="R140" s="171">
        <f>S140/1000*-1</f>
        <v>-3600</v>
      </c>
      <c r="S140" s="191">
        <f>S141</f>
        <v>3600000</v>
      </c>
      <c r="T140" s="176">
        <f>T141</f>
        <v>0</v>
      </c>
      <c r="U140" s="210">
        <f t="shared" si="55"/>
        <v>27013.133757401189</v>
      </c>
      <c r="V140" s="173">
        <f>C140+M140</f>
        <v>27.013133757401189</v>
      </c>
      <c r="W140" s="173">
        <f>F140+O140</f>
        <v>-3573.5120000000002</v>
      </c>
      <c r="X140" s="198">
        <f>J140+Q140</f>
        <v>0</v>
      </c>
      <c r="Y140" s="171">
        <f>K140+R140</f>
        <v>-3573.5120000000002</v>
      </c>
      <c r="Z140" s="174"/>
      <c r="AA140" s="174"/>
    </row>
    <row r="141" spans="1:27" s="117" customFormat="1" ht="9.75" customHeight="1" x14ac:dyDescent="0.15">
      <c r="A141" s="142" t="s">
        <v>235</v>
      </c>
      <c r="B141" s="212">
        <v>0.05</v>
      </c>
      <c r="C141" s="145">
        <f>D141/1000</f>
        <v>27.013133757401189</v>
      </c>
      <c r="D141" s="43">
        <f t="shared" si="28"/>
        <v>27013.133757401189</v>
      </c>
      <c r="E141" s="200"/>
      <c r="F141" s="196">
        <f t="shared" si="53"/>
        <v>26.488</v>
      </c>
      <c r="G141" s="191">
        <f t="shared" si="54"/>
        <v>26488</v>
      </c>
      <c r="H141" s="36"/>
      <c r="I141" s="200"/>
      <c r="J141" s="230">
        <v>0</v>
      </c>
      <c r="K141" s="43">
        <f t="shared" si="29"/>
        <v>26.488</v>
      </c>
      <c r="L141" s="200">
        <v>26488</v>
      </c>
      <c r="M141" s="196">
        <f t="shared" si="46"/>
        <v>0</v>
      </c>
      <c r="N141" s="36"/>
      <c r="O141" s="43">
        <f>P141/1000*-1</f>
        <v>-3600</v>
      </c>
      <c r="P141" s="191">
        <f t="shared" si="44"/>
        <v>3600000</v>
      </c>
      <c r="Q141" s="230"/>
      <c r="R141" s="43">
        <f>S141/1000*-1</f>
        <v>-3600</v>
      </c>
      <c r="S141" s="200">
        <v>3600000</v>
      </c>
      <c r="T141" s="36"/>
      <c r="U141" s="227">
        <f t="shared" si="55"/>
        <v>27013.133757401189</v>
      </c>
      <c r="V141" s="36">
        <f>C141+M141</f>
        <v>27.013133757401189</v>
      </c>
      <c r="W141" s="36">
        <f>F141+O141</f>
        <v>-3573.5120000000002</v>
      </c>
      <c r="X141" s="230">
        <f>J141+Q141</f>
        <v>0</v>
      </c>
      <c r="Y141" s="43">
        <f>K141+R141</f>
        <v>-3573.5120000000002</v>
      </c>
      <c r="Z141" s="47"/>
      <c r="AA141" s="47"/>
    </row>
    <row r="142" spans="1:27" s="117" customFormat="1" ht="9" customHeight="1" x14ac:dyDescent="0.15">
      <c r="A142" s="142"/>
      <c r="B142" s="212"/>
      <c r="C142" s="145"/>
      <c r="D142" s="43">
        <f t="shared" si="28"/>
        <v>0</v>
      </c>
      <c r="E142" s="200"/>
      <c r="F142" s="196">
        <f t="shared" si="53"/>
        <v>0</v>
      </c>
      <c r="G142" s="191">
        <f t="shared" si="54"/>
        <v>0</v>
      </c>
      <c r="H142" s="36"/>
      <c r="I142" s="200"/>
      <c r="J142" s="230"/>
      <c r="K142" s="43">
        <f t="shared" si="29"/>
        <v>0</v>
      </c>
      <c r="L142" s="200"/>
      <c r="M142" s="196">
        <f t="shared" si="46"/>
        <v>0</v>
      </c>
      <c r="N142" s="36"/>
      <c r="O142" s="43"/>
      <c r="P142" s="191">
        <f t="shared" si="44"/>
        <v>0</v>
      </c>
      <c r="Q142" s="230"/>
      <c r="R142" s="43"/>
      <c r="S142" s="200"/>
      <c r="T142" s="36"/>
      <c r="U142" s="227">
        <f t="shared" si="55"/>
        <v>0</v>
      </c>
      <c r="V142" s="36"/>
      <c r="W142" s="36"/>
      <c r="X142" s="230"/>
      <c r="Y142" s="43"/>
      <c r="Z142" s="47"/>
      <c r="AA142" s="47"/>
    </row>
    <row r="143" spans="1:27" s="189" customFormat="1" ht="9.75" customHeight="1" x14ac:dyDescent="0.15">
      <c r="A143" s="186" t="s">
        <v>119</v>
      </c>
      <c r="B143" s="217">
        <f>B144</f>
        <v>0</v>
      </c>
      <c r="C143" s="170"/>
      <c r="D143" s="191">
        <f t="shared" si="28"/>
        <v>0</v>
      </c>
      <c r="E143" s="198"/>
      <c r="F143" s="191">
        <f t="shared" si="53"/>
        <v>0</v>
      </c>
      <c r="G143" s="191">
        <f t="shared" si="54"/>
        <v>0</v>
      </c>
      <c r="H143" s="173"/>
      <c r="I143" s="198"/>
      <c r="J143" s="198"/>
      <c r="K143" s="191">
        <f t="shared" si="29"/>
        <v>0</v>
      </c>
      <c r="L143" s="198">
        <f>L144</f>
        <v>0</v>
      </c>
      <c r="M143" s="191">
        <f t="shared" si="46"/>
        <v>0</v>
      </c>
      <c r="N143" s="173"/>
      <c r="O143" s="171">
        <v>0</v>
      </c>
      <c r="P143" s="191">
        <f t="shared" si="44"/>
        <v>0</v>
      </c>
      <c r="Q143" s="198">
        <v>0</v>
      </c>
      <c r="R143" s="171">
        <v>0</v>
      </c>
      <c r="S143" s="198"/>
      <c r="T143" s="173"/>
      <c r="U143" s="210">
        <f t="shared" si="55"/>
        <v>0</v>
      </c>
      <c r="V143" s="173">
        <v>0</v>
      </c>
      <c r="W143" s="173">
        <v>0</v>
      </c>
      <c r="X143" s="198">
        <f>J143+Q143</f>
        <v>0</v>
      </c>
      <c r="Y143" s="171">
        <f>K143+R143</f>
        <v>0</v>
      </c>
      <c r="Z143" s="174"/>
      <c r="AA143" s="174"/>
    </row>
    <row r="144" spans="1:27" s="117" customFormat="1" x14ac:dyDescent="0.15">
      <c r="A144" s="142"/>
      <c r="B144" s="212">
        <v>0</v>
      </c>
      <c r="C144" s="145">
        <f>D144/1000</f>
        <v>0</v>
      </c>
      <c r="D144" s="43">
        <f t="shared" si="28"/>
        <v>0</v>
      </c>
      <c r="E144" s="200"/>
      <c r="F144" s="196">
        <f t="shared" si="53"/>
        <v>0</v>
      </c>
      <c r="G144" s="191">
        <f t="shared" si="54"/>
        <v>0</v>
      </c>
      <c r="H144" s="36">
        <f>L144/2</f>
        <v>0</v>
      </c>
      <c r="I144" s="200"/>
      <c r="J144" s="230"/>
      <c r="K144" s="43">
        <f t="shared" si="29"/>
        <v>0</v>
      </c>
      <c r="L144" s="200"/>
      <c r="M144" s="196">
        <f t="shared" si="46"/>
        <v>0</v>
      </c>
      <c r="N144" s="36"/>
      <c r="O144" s="43">
        <f>P144/1000*-1</f>
        <v>0</v>
      </c>
      <c r="P144" s="191">
        <f t="shared" si="44"/>
        <v>0</v>
      </c>
      <c r="Q144" s="230">
        <v>0</v>
      </c>
      <c r="R144" s="43">
        <f>S144/1000*-1</f>
        <v>0</v>
      </c>
      <c r="S144" s="200"/>
      <c r="T144" s="36"/>
      <c r="U144" s="227">
        <f t="shared" si="55"/>
        <v>0</v>
      </c>
      <c r="V144" s="36">
        <f>C144+M144</f>
        <v>0</v>
      </c>
      <c r="W144" s="36">
        <f>F144+O144</f>
        <v>0</v>
      </c>
      <c r="X144" s="230">
        <f>J144+Q144</f>
        <v>0</v>
      </c>
      <c r="Y144" s="43">
        <v>0</v>
      </c>
      <c r="Z144" s="47"/>
      <c r="AA144" s="47"/>
    </row>
    <row r="145" spans="1:27" s="117" customFormat="1" x14ac:dyDescent="0.15">
      <c r="A145" s="156" t="s">
        <v>95</v>
      </c>
      <c r="B145" s="157">
        <f>B9+B36+B94+B118+B126+B132+B140</f>
        <v>62.489999999999995</v>
      </c>
      <c r="C145" s="140">
        <f>D145/1000</f>
        <v>37569.03057000001</v>
      </c>
      <c r="D145" s="158">
        <f>D140+D132+D126+D118+D94+D36+D9+D143</f>
        <v>37569030.570000008</v>
      </c>
      <c r="E145" s="204">
        <f>E140+E132+E126+E118+E94+E36+E9+E143</f>
        <v>3808016</v>
      </c>
      <c r="F145" s="195">
        <f t="shared" si="53"/>
        <v>73497.724000000002</v>
      </c>
      <c r="G145" s="191">
        <f t="shared" si="54"/>
        <v>73497724</v>
      </c>
      <c r="H145" s="158">
        <f>H140+H132+H126+H118+H94+H36+H9+H143</f>
        <v>4134.54</v>
      </c>
      <c r="I145" s="204">
        <f>I140+I132+I126+I118+I94+I36+I9+I143</f>
        <v>40387398</v>
      </c>
      <c r="J145" s="232">
        <f>J132+J126+J94+J36+J9+J143+J118+J140</f>
        <v>0</v>
      </c>
      <c r="K145" s="41">
        <f t="shared" si="29"/>
        <v>73497.724000000002</v>
      </c>
      <c r="L145" s="191">
        <f>L140+L132+L126+L118+L94+L36+L9+L143</f>
        <v>73497724</v>
      </c>
      <c r="M145" s="195">
        <f t="shared" si="46"/>
        <v>0</v>
      </c>
      <c r="N145" s="158">
        <f>N140+N132+N126+N118+N94+N36</f>
        <v>0</v>
      </c>
      <c r="O145" s="41">
        <f>P145/1000*-1</f>
        <v>-73414.051000000007</v>
      </c>
      <c r="P145" s="191">
        <f t="shared" si="44"/>
        <v>73414051</v>
      </c>
      <c r="Q145" s="232">
        <f>Q140+Q132+Q126+Q118+Q94+Q36+Q9</f>
        <v>0</v>
      </c>
      <c r="R145" s="41">
        <f>S145/1000*-1</f>
        <v>-73414.051000000007</v>
      </c>
      <c r="S145" s="221">
        <f>S143+S140+S132+S126+S118+S94+S36+S9</f>
        <v>73414051</v>
      </c>
      <c r="T145" s="161">
        <f>T140+T132+T126+T118+T94+T36</f>
        <v>0</v>
      </c>
      <c r="U145" s="211">
        <f>U143+U140+U132+U126+U118+U94+U36+U9</f>
        <v>33761014.570000008</v>
      </c>
      <c r="V145" s="33">
        <f>C145+M145</f>
        <v>37569.03057000001</v>
      </c>
      <c r="W145" s="33">
        <f>F145+O145+1</f>
        <v>84.672999999995227</v>
      </c>
      <c r="X145" s="231">
        <f>J145+Q145</f>
        <v>0</v>
      </c>
      <c r="Y145" s="41">
        <f>K145+R145</f>
        <v>83.672999999995227</v>
      </c>
      <c r="Z145" s="47"/>
      <c r="AA145" s="47"/>
    </row>
    <row r="146" spans="1:27" s="42" customFormat="1" x14ac:dyDescent="0.15">
      <c r="A146" s="163"/>
      <c r="B146" s="213"/>
      <c r="C146" s="121"/>
      <c r="D146" s="122"/>
      <c r="E146" s="197"/>
      <c r="F146" s="192"/>
      <c r="G146" s="192"/>
      <c r="H146" s="47"/>
      <c r="I146" s="197"/>
      <c r="J146" s="228"/>
      <c r="K146" s="47"/>
      <c r="L146" s="197"/>
      <c r="M146" s="225"/>
      <c r="N146" s="47"/>
      <c r="O146" s="47"/>
      <c r="P146" s="197"/>
      <c r="Q146" s="228"/>
      <c r="R146" s="47"/>
      <c r="S146" s="197"/>
      <c r="T146" s="47"/>
      <c r="U146" s="206"/>
      <c r="V146" s="47"/>
      <c r="W146" s="164"/>
      <c r="X146" s="237"/>
    </row>
    <row r="147" spans="1:27" s="42" customFormat="1" x14ac:dyDescent="0.15">
      <c r="A147" s="39"/>
      <c r="B147" s="213"/>
      <c r="C147" s="121"/>
      <c r="D147" s="122"/>
      <c r="E147" s="205"/>
      <c r="F147" s="192"/>
      <c r="G147" s="192"/>
      <c r="H147" s="47"/>
      <c r="I147" s="197"/>
      <c r="J147" s="228"/>
      <c r="K147" s="47"/>
      <c r="L147" s="197"/>
      <c r="M147" s="225"/>
      <c r="N147" s="47"/>
      <c r="O147" s="47"/>
      <c r="P147" s="197"/>
      <c r="Q147" s="228"/>
      <c r="R147" s="47"/>
      <c r="S147" s="197"/>
      <c r="T147" s="47"/>
      <c r="U147" s="206"/>
      <c r="V147" s="47"/>
      <c r="W147" s="164"/>
      <c r="X147" s="237"/>
    </row>
    <row r="148" spans="1:27" x14ac:dyDescent="0.15">
      <c r="B148" s="218"/>
      <c r="C148" s="167"/>
      <c r="D148" s="167"/>
      <c r="E148" s="202"/>
      <c r="F148" s="223"/>
      <c r="G148" s="223">
        <f t="shared" ref="G148:L148" si="56">Q146-G146</f>
        <v>0</v>
      </c>
      <c r="H148" s="167">
        <f t="shared" si="56"/>
        <v>0</v>
      </c>
      <c r="I148" s="202">
        <f t="shared" si="56"/>
        <v>0</v>
      </c>
      <c r="J148" s="233"/>
      <c r="K148" s="167"/>
      <c r="L148" s="202">
        <f t="shared" si="56"/>
        <v>0</v>
      </c>
      <c r="M148" s="223"/>
    </row>
    <row r="149" spans="1:27" s="42" customFormat="1" x14ac:dyDescent="0.15">
      <c r="A149" s="39"/>
      <c r="B149" s="218"/>
      <c r="C149" s="167"/>
      <c r="D149" s="122"/>
      <c r="E149" s="197"/>
      <c r="F149" s="192"/>
      <c r="G149" s="192"/>
      <c r="H149" s="47"/>
      <c r="I149" s="197"/>
      <c r="J149" s="228"/>
      <c r="K149" s="47"/>
      <c r="L149" s="197"/>
      <c r="M149" s="225"/>
      <c r="N149" s="47"/>
      <c r="O149" s="47"/>
      <c r="P149" s="197"/>
      <c r="Q149" s="228"/>
      <c r="R149" s="47"/>
      <c r="S149" s="197"/>
      <c r="T149" s="47"/>
      <c r="U149" s="206"/>
      <c r="V149" s="47"/>
      <c r="W149" s="164"/>
      <c r="X149" s="237"/>
    </row>
    <row r="150" spans="1:27" x14ac:dyDescent="0.15">
      <c r="M150" s="226"/>
    </row>
  </sheetData>
  <mergeCells count="4">
    <mergeCell ref="A4:W4"/>
    <mergeCell ref="C6:K6"/>
    <mergeCell ref="M6:R6"/>
    <mergeCell ref="V6:Y6"/>
  </mergeCells>
  <pageMargins left="0.94488188976377963" right="0.55118110236220474" top="0" bottom="0" header="0" footer="0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48"/>
  <sheetViews>
    <sheetView workbookViewId="0"/>
  </sheetViews>
  <sheetFormatPr defaultRowHeight="12.75" x14ac:dyDescent="0.2"/>
  <cols>
    <col min="1" max="1" width="26.5703125" style="39" customWidth="1"/>
    <col min="2" max="2" width="15.140625" style="197" customWidth="1"/>
  </cols>
  <sheetData>
    <row r="4" spans="1:2" x14ac:dyDescent="0.2">
      <c r="A4"/>
      <c r="B4"/>
    </row>
    <row r="6" spans="1:2" x14ac:dyDescent="0.2">
      <c r="A6" s="124" t="s">
        <v>114</v>
      </c>
      <c r="B6"/>
    </row>
    <row r="7" spans="1:2" x14ac:dyDescent="0.2">
      <c r="A7" s="129" t="s">
        <v>96</v>
      </c>
      <c r="B7" s="199" t="s">
        <v>121</v>
      </c>
    </row>
    <row r="8" spans="1:2" x14ac:dyDescent="0.2">
      <c r="A8" s="133"/>
      <c r="B8" s="203" t="s">
        <v>40</v>
      </c>
    </row>
    <row r="9" spans="1:2" x14ac:dyDescent="0.2">
      <c r="A9" s="168" t="s">
        <v>49</v>
      </c>
      <c r="B9" s="191">
        <f>B10+B11+B26</f>
        <v>706733.89</v>
      </c>
    </row>
    <row r="10" spans="1:2" x14ac:dyDescent="0.2">
      <c r="A10" s="142" t="s">
        <v>136</v>
      </c>
      <c r="B10" s="198">
        <v>189699.07</v>
      </c>
    </row>
    <row r="11" spans="1:2" x14ac:dyDescent="0.2">
      <c r="A11" s="142" t="s">
        <v>137</v>
      </c>
      <c r="B11" s="198">
        <f>SUM(B12:B24)</f>
        <v>322919.93</v>
      </c>
    </row>
    <row r="12" spans="1:2" x14ac:dyDescent="0.2">
      <c r="A12" s="144" t="s">
        <v>138</v>
      </c>
      <c r="B12" s="200">
        <v>320618.74</v>
      </c>
    </row>
    <row r="13" spans="1:2" x14ac:dyDescent="0.2">
      <c r="A13" s="144" t="s">
        <v>139</v>
      </c>
      <c r="B13" s="200"/>
    </row>
    <row r="14" spans="1:2" x14ac:dyDescent="0.2">
      <c r="A14" s="144" t="s">
        <v>142</v>
      </c>
      <c r="B14" s="198"/>
    </row>
    <row r="15" spans="1:2" x14ac:dyDescent="0.2">
      <c r="A15" s="144" t="s">
        <v>143</v>
      </c>
      <c r="B15" s="198"/>
    </row>
    <row r="16" spans="1:2" x14ac:dyDescent="0.2">
      <c r="A16" s="144" t="s">
        <v>144</v>
      </c>
      <c r="B16" s="198"/>
    </row>
    <row r="17" spans="1:2" x14ac:dyDescent="0.2">
      <c r="A17" s="144" t="s">
        <v>145</v>
      </c>
      <c r="B17" s="198"/>
    </row>
    <row r="18" spans="1:2" x14ac:dyDescent="0.2">
      <c r="A18" s="144" t="s">
        <v>146</v>
      </c>
      <c r="B18" s="198"/>
    </row>
    <row r="19" spans="1:2" x14ac:dyDescent="0.2">
      <c r="A19" s="144" t="s">
        <v>147</v>
      </c>
      <c r="B19" s="198"/>
    </row>
    <row r="20" spans="1:2" x14ac:dyDescent="0.2">
      <c r="A20" s="144" t="s">
        <v>148</v>
      </c>
      <c r="B20" s="198">
        <v>2063.69</v>
      </c>
    </row>
    <row r="21" spans="1:2" x14ac:dyDescent="0.2">
      <c r="A21" s="144" t="s">
        <v>149</v>
      </c>
      <c r="B21" s="198">
        <v>237.5</v>
      </c>
    </row>
    <row r="22" spans="1:2" x14ac:dyDescent="0.2">
      <c r="A22" s="144" t="s">
        <v>150</v>
      </c>
      <c r="B22" s="198"/>
    </row>
    <row r="23" spans="1:2" x14ac:dyDescent="0.2">
      <c r="A23" s="144" t="s">
        <v>151</v>
      </c>
      <c r="B23" s="198"/>
    </row>
    <row r="24" spans="1:2" x14ac:dyDescent="0.2">
      <c r="A24" s="144" t="s">
        <v>152</v>
      </c>
      <c r="B24" s="198"/>
    </row>
    <row r="25" spans="1:2" x14ac:dyDescent="0.2">
      <c r="A25" s="144"/>
      <c r="B25" s="198"/>
    </row>
    <row r="26" spans="1:2" x14ac:dyDescent="0.2">
      <c r="A26" s="142" t="s">
        <v>153</v>
      </c>
      <c r="B26" s="198">
        <f>SUM(B27:B34)</f>
        <v>194114.88999999998</v>
      </c>
    </row>
    <row r="27" spans="1:2" x14ac:dyDescent="0.2">
      <c r="A27" s="144" t="s">
        <v>154</v>
      </c>
      <c r="B27" s="198"/>
    </row>
    <row r="28" spans="1:2" x14ac:dyDescent="0.2">
      <c r="A28" s="144" t="s">
        <v>155</v>
      </c>
      <c r="B28" s="198"/>
    </row>
    <row r="29" spans="1:2" x14ac:dyDescent="0.2">
      <c r="A29" s="144" t="s">
        <v>156</v>
      </c>
      <c r="B29" s="200"/>
    </row>
    <row r="30" spans="1:2" x14ac:dyDescent="0.2">
      <c r="A30" s="144" t="s">
        <v>157</v>
      </c>
      <c r="B30" s="200">
        <v>8637.5499999999993</v>
      </c>
    </row>
    <row r="31" spans="1:2" x14ac:dyDescent="0.2">
      <c r="A31" s="144" t="s">
        <v>158</v>
      </c>
      <c r="B31" s="200">
        <v>17426.439999999999</v>
      </c>
    </row>
    <row r="32" spans="1:2" x14ac:dyDescent="0.2">
      <c r="A32" s="144" t="s">
        <v>159</v>
      </c>
      <c r="B32" s="200">
        <v>30628.880000000001</v>
      </c>
    </row>
    <row r="33" spans="1:2" x14ac:dyDescent="0.2">
      <c r="A33" s="144" t="s">
        <v>160</v>
      </c>
      <c r="B33" s="200">
        <v>137422.01999999999</v>
      </c>
    </row>
    <row r="34" spans="1:2" x14ac:dyDescent="0.2">
      <c r="A34" s="144" t="s">
        <v>161</v>
      </c>
      <c r="B34" s="198"/>
    </row>
    <row r="35" spans="1:2" x14ac:dyDescent="0.2">
      <c r="A35" s="147"/>
      <c r="B35" s="198"/>
    </row>
    <row r="36" spans="1:2" x14ac:dyDescent="0.2">
      <c r="A36" s="168" t="s">
        <v>48</v>
      </c>
      <c r="B36" s="191">
        <f>B37+B47+B52+B58+B66+B69+B88+B74</f>
        <v>3752862.4300000006</v>
      </c>
    </row>
    <row r="37" spans="1:2" x14ac:dyDescent="0.2">
      <c r="A37" s="142" t="s">
        <v>162</v>
      </c>
      <c r="B37" s="198">
        <f>SUM(B38:B44)</f>
        <v>863402.18</v>
      </c>
    </row>
    <row r="38" spans="1:2" x14ac:dyDescent="0.2">
      <c r="A38" s="144" t="s">
        <v>163</v>
      </c>
      <c r="B38" s="200">
        <v>118023.52</v>
      </c>
    </row>
    <row r="39" spans="1:2" x14ac:dyDescent="0.2">
      <c r="A39" s="144" t="s">
        <v>164</v>
      </c>
      <c r="B39" s="200">
        <v>32192.76</v>
      </c>
    </row>
    <row r="40" spans="1:2" x14ac:dyDescent="0.2">
      <c r="A40" s="144" t="s">
        <v>165</v>
      </c>
      <c r="B40" s="200">
        <v>27802.19</v>
      </c>
    </row>
    <row r="41" spans="1:2" x14ac:dyDescent="0.2">
      <c r="A41" s="144" t="s">
        <v>166</v>
      </c>
      <c r="B41" s="200">
        <v>269445.94</v>
      </c>
    </row>
    <row r="42" spans="1:2" x14ac:dyDescent="0.2">
      <c r="A42" s="144" t="s">
        <v>167</v>
      </c>
      <c r="B42" s="200">
        <v>70479.740000000005</v>
      </c>
    </row>
    <row r="43" spans="1:2" x14ac:dyDescent="0.2">
      <c r="A43" s="144" t="s">
        <v>168</v>
      </c>
      <c r="B43" s="200"/>
    </row>
    <row r="44" spans="1:2" x14ac:dyDescent="0.2">
      <c r="A44" s="144" t="s">
        <v>169</v>
      </c>
      <c r="B44" s="200">
        <v>345458.03</v>
      </c>
    </row>
    <row r="45" spans="1:2" x14ac:dyDescent="0.2">
      <c r="A45" s="144"/>
      <c r="B45" s="200"/>
    </row>
    <row r="46" spans="1:2" x14ac:dyDescent="0.2">
      <c r="A46" s="144"/>
      <c r="B46" s="200"/>
    </row>
    <row r="47" spans="1:2" x14ac:dyDescent="0.2">
      <c r="A47" s="142" t="s">
        <v>170</v>
      </c>
      <c r="B47" s="198">
        <f>SUM(B48:B51)</f>
        <v>321325.64999999997</v>
      </c>
    </row>
    <row r="48" spans="1:2" x14ac:dyDescent="0.2">
      <c r="A48" s="144" t="s">
        <v>171</v>
      </c>
      <c r="B48" s="200">
        <v>38608.29</v>
      </c>
    </row>
    <row r="49" spans="1:2" x14ac:dyDescent="0.2">
      <c r="A49" s="144" t="s">
        <v>172</v>
      </c>
      <c r="B49" s="200">
        <v>282717.36</v>
      </c>
    </row>
    <row r="50" spans="1:2" x14ac:dyDescent="0.2">
      <c r="A50" s="144"/>
      <c r="B50" s="200"/>
    </row>
    <row r="51" spans="1:2" x14ac:dyDescent="0.2">
      <c r="A51" s="144"/>
      <c r="B51" s="200"/>
    </row>
    <row r="52" spans="1:2" x14ac:dyDescent="0.2">
      <c r="A52" s="142" t="s">
        <v>173</v>
      </c>
      <c r="B52" s="198">
        <f>SUM(B53:B57)</f>
        <v>127779.69</v>
      </c>
    </row>
    <row r="53" spans="1:2" x14ac:dyDescent="0.2">
      <c r="A53" s="144" t="s">
        <v>174</v>
      </c>
      <c r="B53" s="200">
        <v>23001.63</v>
      </c>
    </row>
    <row r="54" spans="1:2" x14ac:dyDescent="0.2">
      <c r="A54" s="144" t="s">
        <v>175</v>
      </c>
      <c r="B54" s="200">
        <v>65436.88</v>
      </c>
    </row>
    <row r="55" spans="1:2" x14ac:dyDescent="0.2">
      <c r="A55" s="144" t="s">
        <v>176</v>
      </c>
      <c r="B55" s="200">
        <v>39341.18</v>
      </c>
    </row>
    <row r="56" spans="1:2" x14ac:dyDescent="0.2">
      <c r="A56" s="144"/>
      <c r="B56" s="200"/>
    </row>
    <row r="57" spans="1:2" x14ac:dyDescent="0.2">
      <c r="A57" s="144"/>
      <c r="B57" s="200"/>
    </row>
    <row r="58" spans="1:2" x14ac:dyDescent="0.2">
      <c r="A58" s="142" t="s">
        <v>177</v>
      </c>
      <c r="B58" s="198">
        <f>SUM(B59:B65)</f>
        <v>854198.34000000008</v>
      </c>
    </row>
    <row r="59" spans="1:2" x14ac:dyDescent="0.2">
      <c r="A59" s="144" t="s">
        <v>178</v>
      </c>
      <c r="B59" s="200">
        <v>16680.8</v>
      </c>
    </row>
    <row r="60" spans="1:2" x14ac:dyDescent="0.2">
      <c r="A60" s="144" t="s">
        <v>179</v>
      </c>
      <c r="B60" s="200"/>
    </row>
    <row r="61" spans="1:2" x14ac:dyDescent="0.2">
      <c r="A61" s="144" t="s">
        <v>180</v>
      </c>
      <c r="B61" s="200">
        <v>775253.78</v>
      </c>
    </row>
    <row r="62" spans="1:2" x14ac:dyDescent="0.2">
      <c r="A62" s="144" t="s">
        <v>181</v>
      </c>
      <c r="B62" s="200">
        <v>44802.13</v>
      </c>
    </row>
    <row r="63" spans="1:2" x14ac:dyDescent="0.2">
      <c r="A63" s="144" t="s">
        <v>182</v>
      </c>
      <c r="B63" s="200"/>
    </row>
    <row r="64" spans="1:2" x14ac:dyDescent="0.2">
      <c r="A64" s="144" t="s">
        <v>183</v>
      </c>
      <c r="B64" s="200">
        <v>17461.63</v>
      </c>
    </row>
    <row r="65" spans="1:2" x14ac:dyDescent="0.2">
      <c r="A65" s="144"/>
      <c r="B65" s="200"/>
    </row>
    <row r="66" spans="1:2" x14ac:dyDescent="0.2">
      <c r="A66" s="142" t="s">
        <v>184</v>
      </c>
      <c r="B66" s="198">
        <f>SUM(B67:B68)</f>
        <v>65330.98</v>
      </c>
    </row>
    <row r="67" spans="1:2" x14ac:dyDescent="0.2">
      <c r="A67" s="144" t="s">
        <v>185</v>
      </c>
      <c r="B67" s="200">
        <f>30000+35330.98</f>
        <v>65330.98</v>
      </c>
    </row>
    <row r="68" spans="1:2" x14ac:dyDescent="0.2">
      <c r="A68" s="144"/>
      <c r="B68" s="200"/>
    </row>
    <row r="69" spans="1:2" x14ac:dyDescent="0.2">
      <c r="A69" s="142" t="s">
        <v>186</v>
      </c>
      <c r="B69" s="198">
        <f>SUM(B70:B73)</f>
        <v>512088.02</v>
      </c>
    </row>
    <row r="70" spans="1:2" x14ac:dyDescent="0.2">
      <c r="A70" s="144" t="s">
        <v>187</v>
      </c>
      <c r="B70" s="198"/>
    </row>
    <row r="71" spans="1:2" x14ac:dyDescent="0.2">
      <c r="A71" s="144" t="s">
        <v>190</v>
      </c>
      <c r="B71" s="200">
        <v>38932.31</v>
      </c>
    </row>
    <row r="72" spans="1:2" x14ac:dyDescent="0.2">
      <c r="A72" s="144" t="s">
        <v>188</v>
      </c>
      <c r="B72" s="200">
        <v>407552.53</v>
      </c>
    </row>
    <row r="73" spans="1:2" x14ac:dyDescent="0.2">
      <c r="A73" s="144" t="s">
        <v>189</v>
      </c>
      <c r="B73" s="200">
        <v>65603.179999999993</v>
      </c>
    </row>
    <row r="74" spans="1:2" x14ac:dyDescent="0.2">
      <c r="A74" s="142" t="s">
        <v>191</v>
      </c>
      <c r="B74" s="198">
        <f>SUM(B75:B87)</f>
        <v>880606.36999999988</v>
      </c>
    </row>
    <row r="75" spans="1:2" x14ac:dyDescent="0.2">
      <c r="A75" s="144" t="s">
        <v>192</v>
      </c>
      <c r="B75" s="200">
        <v>230695.53</v>
      </c>
    </row>
    <row r="76" spans="1:2" x14ac:dyDescent="0.2">
      <c r="A76" s="144" t="s">
        <v>193</v>
      </c>
      <c r="B76" s="200">
        <v>121869.07</v>
      </c>
    </row>
    <row r="77" spans="1:2" x14ac:dyDescent="0.2">
      <c r="A77" s="144" t="s">
        <v>194</v>
      </c>
      <c r="B77" s="200">
        <v>8761.2999999999993</v>
      </c>
    </row>
    <row r="78" spans="1:2" x14ac:dyDescent="0.2">
      <c r="A78" s="144" t="s">
        <v>195</v>
      </c>
      <c r="B78" s="200">
        <v>519280.47</v>
      </c>
    </row>
    <row r="79" spans="1:2" x14ac:dyDescent="0.2">
      <c r="A79" s="144"/>
      <c r="B79" s="200"/>
    </row>
    <row r="80" spans="1:2" x14ac:dyDescent="0.2">
      <c r="A80" s="144"/>
      <c r="B80" s="200"/>
    </row>
    <row r="81" spans="1:2" x14ac:dyDescent="0.2">
      <c r="A81" s="144"/>
      <c r="B81" s="200"/>
    </row>
    <row r="82" spans="1:2" x14ac:dyDescent="0.2">
      <c r="A82" s="144"/>
      <c r="B82" s="200"/>
    </row>
    <row r="83" spans="1:2" x14ac:dyDescent="0.2">
      <c r="A83" s="144"/>
      <c r="B83" s="200"/>
    </row>
    <row r="84" spans="1:2" x14ac:dyDescent="0.2">
      <c r="A84" s="144"/>
      <c r="B84" s="200"/>
    </row>
    <row r="85" spans="1:2" x14ac:dyDescent="0.2">
      <c r="A85" s="144"/>
      <c r="B85" s="200"/>
    </row>
    <row r="86" spans="1:2" x14ac:dyDescent="0.2">
      <c r="A86" s="144"/>
      <c r="B86" s="200"/>
    </row>
    <row r="87" spans="1:2" x14ac:dyDescent="0.2">
      <c r="A87" s="144"/>
      <c r="B87" s="200"/>
    </row>
    <row r="88" spans="1:2" x14ac:dyDescent="0.2">
      <c r="A88" s="142" t="s">
        <v>236</v>
      </c>
      <c r="B88" s="198">
        <f>SUM(B89:B92)</f>
        <v>128131.2</v>
      </c>
    </row>
    <row r="89" spans="1:2" x14ac:dyDescent="0.2">
      <c r="A89" s="144" t="s">
        <v>196</v>
      </c>
      <c r="B89" s="200"/>
    </row>
    <row r="90" spans="1:2" x14ac:dyDescent="0.2">
      <c r="A90" s="144" t="s">
        <v>197</v>
      </c>
      <c r="B90" s="200">
        <v>126600</v>
      </c>
    </row>
    <row r="91" spans="1:2" x14ac:dyDescent="0.2">
      <c r="A91" s="144" t="s">
        <v>198</v>
      </c>
      <c r="B91" s="200">
        <v>1531.2</v>
      </c>
    </row>
    <row r="92" spans="1:2" x14ac:dyDescent="0.2">
      <c r="A92" s="144" t="s">
        <v>199</v>
      </c>
      <c r="B92" s="200"/>
    </row>
    <row r="93" spans="1:2" x14ac:dyDescent="0.2">
      <c r="A93" s="144"/>
      <c r="B93" s="200"/>
    </row>
    <row r="94" spans="1:2" x14ac:dyDescent="0.2">
      <c r="A94" s="168" t="s">
        <v>83</v>
      </c>
      <c r="B94" s="191">
        <f>B95+B107</f>
        <v>410250.47</v>
      </c>
    </row>
    <row r="95" spans="1:2" x14ac:dyDescent="0.2">
      <c r="A95" s="142" t="s">
        <v>200</v>
      </c>
      <c r="B95" s="198">
        <f>SUM(B96:B106)</f>
        <v>410250.47</v>
      </c>
    </row>
    <row r="96" spans="1:2" x14ac:dyDescent="0.2">
      <c r="A96" s="144" t="s">
        <v>201</v>
      </c>
      <c r="B96" s="200">
        <v>374051.48</v>
      </c>
    </row>
    <row r="97" spans="1:2" x14ac:dyDescent="0.2">
      <c r="A97" s="144"/>
      <c r="B97" s="200"/>
    </row>
    <row r="98" spans="1:2" x14ac:dyDescent="0.2">
      <c r="A98" s="144" t="s">
        <v>202</v>
      </c>
      <c r="B98" s="200">
        <v>2378.4</v>
      </c>
    </row>
    <row r="99" spans="1:2" x14ac:dyDescent="0.2">
      <c r="A99" s="144" t="s">
        <v>203</v>
      </c>
      <c r="B99" s="200">
        <v>15288.79</v>
      </c>
    </row>
    <row r="100" spans="1:2" x14ac:dyDescent="0.2">
      <c r="A100" s="144" t="s">
        <v>204</v>
      </c>
      <c r="B100" s="200">
        <f>10902.95+7628.85</f>
        <v>18531.800000000003</v>
      </c>
    </row>
    <row r="101" spans="1:2" x14ac:dyDescent="0.2">
      <c r="A101" s="144" t="s">
        <v>205</v>
      </c>
      <c r="B101" s="200"/>
    </row>
    <row r="102" spans="1:2" x14ac:dyDescent="0.2">
      <c r="A102" s="144" t="s">
        <v>206</v>
      </c>
      <c r="B102" s="200"/>
    </row>
    <row r="103" spans="1:2" x14ac:dyDescent="0.2">
      <c r="A103" s="144" t="s">
        <v>207</v>
      </c>
      <c r="B103" s="200"/>
    </row>
    <row r="104" spans="1:2" x14ac:dyDescent="0.2">
      <c r="A104" s="144" t="s">
        <v>208</v>
      </c>
      <c r="B104" s="200"/>
    </row>
    <row r="105" spans="1:2" x14ac:dyDescent="0.2">
      <c r="A105" s="144" t="s">
        <v>209</v>
      </c>
      <c r="B105" s="200"/>
    </row>
    <row r="106" spans="1:2" x14ac:dyDescent="0.2">
      <c r="A106" s="144"/>
      <c r="B106" s="200"/>
    </row>
    <row r="107" spans="1:2" x14ac:dyDescent="0.2">
      <c r="A107" s="142" t="s">
        <v>66</v>
      </c>
      <c r="B107" s="198">
        <f>SUM(B108:B116)</f>
        <v>0</v>
      </c>
    </row>
    <row r="108" spans="1:2" x14ac:dyDescent="0.2">
      <c r="A108" s="144" t="s">
        <v>210</v>
      </c>
      <c r="B108" s="200"/>
    </row>
    <row r="109" spans="1:2" x14ac:dyDescent="0.2">
      <c r="A109" s="144" t="s">
        <v>211</v>
      </c>
      <c r="B109" s="200"/>
    </row>
    <row r="110" spans="1:2" x14ac:dyDescent="0.2">
      <c r="A110" s="144" t="s">
        <v>212</v>
      </c>
      <c r="B110" s="200"/>
    </row>
    <row r="111" spans="1:2" x14ac:dyDescent="0.2">
      <c r="A111" s="144" t="s">
        <v>213</v>
      </c>
      <c r="B111" s="200"/>
    </row>
    <row r="112" spans="1:2" x14ac:dyDescent="0.2">
      <c r="A112" s="144" t="s">
        <v>214</v>
      </c>
      <c r="B112" s="200"/>
    </row>
    <row r="113" spans="1:2" x14ac:dyDescent="0.2">
      <c r="A113" s="144" t="s">
        <v>215</v>
      </c>
      <c r="B113" s="200"/>
    </row>
    <row r="114" spans="1:2" x14ac:dyDescent="0.2">
      <c r="A114" s="144" t="s">
        <v>216</v>
      </c>
      <c r="B114" s="200"/>
    </row>
    <row r="115" spans="1:2" x14ac:dyDescent="0.2">
      <c r="A115" s="144" t="s">
        <v>217</v>
      </c>
      <c r="B115" s="200"/>
    </row>
    <row r="116" spans="1:2" x14ac:dyDescent="0.2">
      <c r="A116" s="144" t="s">
        <v>218</v>
      </c>
      <c r="B116" s="200"/>
    </row>
    <row r="117" spans="1:2" x14ac:dyDescent="0.2">
      <c r="A117" s="144"/>
      <c r="B117" s="200"/>
    </row>
    <row r="118" spans="1:2" x14ac:dyDescent="0.2">
      <c r="A118" s="168" t="s">
        <v>84</v>
      </c>
      <c r="B118" s="191">
        <f>SUM(B119:B124)</f>
        <v>4324477.2</v>
      </c>
    </row>
    <row r="119" spans="1:2" x14ac:dyDescent="0.2">
      <c r="A119" s="142" t="s">
        <v>219</v>
      </c>
      <c r="B119" s="198">
        <v>380640.61</v>
      </c>
    </row>
    <row r="120" spans="1:2" x14ac:dyDescent="0.2">
      <c r="A120" s="142" t="s">
        <v>220</v>
      </c>
      <c r="B120" s="198">
        <v>28867.32</v>
      </c>
    </row>
    <row r="121" spans="1:2" x14ac:dyDescent="0.2">
      <c r="A121" s="142" t="s">
        <v>221</v>
      </c>
      <c r="B121" s="198">
        <v>197577.25</v>
      </c>
    </row>
    <row r="122" spans="1:2" x14ac:dyDescent="0.2">
      <c r="A122" s="142" t="s">
        <v>222</v>
      </c>
      <c r="B122" s="198">
        <v>3579961.85</v>
      </c>
    </row>
    <row r="123" spans="1:2" x14ac:dyDescent="0.2">
      <c r="A123" s="142" t="s">
        <v>223</v>
      </c>
      <c r="B123" s="198">
        <v>116129.5</v>
      </c>
    </row>
    <row r="124" spans="1:2" x14ac:dyDescent="0.2">
      <c r="A124" s="142" t="s">
        <v>224</v>
      </c>
      <c r="B124" s="198">
        <v>21300.67</v>
      </c>
    </row>
    <row r="125" spans="1:2" x14ac:dyDescent="0.2">
      <c r="A125" s="152"/>
      <c r="B125" s="198"/>
    </row>
    <row r="126" spans="1:2" x14ac:dyDescent="0.2">
      <c r="A126" s="168" t="s">
        <v>85</v>
      </c>
      <c r="B126" s="191">
        <f>SUM(B127:B130)</f>
        <v>11094200.309999999</v>
      </c>
    </row>
    <row r="127" spans="1:2" x14ac:dyDescent="0.2">
      <c r="A127" s="152" t="s">
        <v>225</v>
      </c>
      <c r="B127" s="200">
        <v>4613956.5599999996</v>
      </c>
    </row>
    <row r="128" spans="1:2" x14ac:dyDescent="0.2">
      <c r="A128" s="152" t="s">
        <v>226</v>
      </c>
      <c r="B128" s="200">
        <v>5349496.3</v>
      </c>
    </row>
    <row r="129" spans="1:2" x14ac:dyDescent="0.2">
      <c r="A129" s="152" t="s">
        <v>227</v>
      </c>
      <c r="B129" s="200">
        <v>268398.40999999997</v>
      </c>
    </row>
    <row r="130" spans="1:2" x14ac:dyDescent="0.2">
      <c r="A130" s="152" t="s">
        <v>228</v>
      </c>
      <c r="B130" s="200">
        <v>862349.04</v>
      </c>
    </row>
    <row r="131" spans="1:2" x14ac:dyDescent="0.2">
      <c r="A131" s="152"/>
      <c r="B131" s="198"/>
    </row>
    <row r="132" spans="1:2" x14ac:dyDescent="0.2">
      <c r="A132" s="183" t="s">
        <v>86</v>
      </c>
      <c r="B132" s="191">
        <f>SUM(B133:B138)</f>
        <v>6348025.2800000003</v>
      </c>
    </row>
    <row r="133" spans="1:2" x14ac:dyDescent="0.2">
      <c r="A133" s="142" t="s">
        <v>229</v>
      </c>
      <c r="B133" s="200">
        <v>651356.37</v>
      </c>
    </row>
    <row r="134" spans="1:2" x14ac:dyDescent="0.2">
      <c r="A134" s="142" t="s">
        <v>230</v>
      </c>
      <c r="B134" s="200">
        <v>760807.8</v>
      </c>
    </row>
    <row r="135" spans="1:2" x14ac:dyDescent="0.2">
      <c r="A135" s="142" t="s">
        <v>231</v>
      </c>
      <c r="B135" s="200"/>
    </row>
    <row r="136" spans="1:2" x14ac:dyDescent="0.2">
      <c r="A136" s="142" t="s">
        <v>232</v>
      </c>
      <c r="B136" s="200">
        <v>1382087.27</v>
      </c>
    </row>
    <row r="137" spans="1:2" x14ac:dyDescent="0.2">
      <c r="A137" s="142" t="s">
        <v>233</v>
      </c>
      <c r="B137" s="200">
        <v>1831257.09</v>
      </c>
    </row>
    <row r="138" spans="1:2" x14ac:dyDescent="0.2">
      <c r="A138" s="142" t="s">
        <v>234</v>
      </c>
      <c r="B138" s="200">
        <v>1722516.75</v>
      </c>
    </row>
    <row r="139" spans="1:2" x14ac:dyDescent="0.2">
      <c r="A139" s="147"/>
      <c r="B139" s="198"/>
    </row>
    <row r="140" spans="1:2" x14ac:dyDescent="0.2">
      <c r="A140" s="168" t="s">
        <v>87</v>
      </c>
      <c r="B140" s="191">
        <f>SUM(B141:B142)</f>
        <v>-1083589.57</v>
      </c>
    </row>
    <row r="141" spans="1:2" x14ac:dyDescent="0.2">
      <c r="A141" s="142" t="s">
        <v>235</v>
      </c>
      <c r="B141" s="200">
        <v>-1083589.57</v>
      </c>
    </row>
    <row r="142" spans="1:2" x14ac:dyDescent="0.2">
      <c r="A142" s="142"/>
      <c r="B142" s="200"/>
    </row>
    <row r="143" spans="1:2" x14ac:dyDescent="0.2">
      <c r="A143" s="186" t="s">
        <v>119</v>
      </c>
      <c r="B143" s="198"/>
    </row>
    <row r="144" spans="1:2" x14ac:dyDescent="0.2">
      <c r="A144" s="142"/>
      <c r="B144" s="200"/>
    </row>
    <row r="145" spans="1:2" x14ac:dyDescent="0.2">
      <c r="A145" s="156" t="s">
        <v>95</v>
      </c>
      <c r="B145" s="204">
        <f>B140+B132+B126+B118+B94+B36+B9+B143</f>
        <v>25552960.009999998</v>
      </c>
    </row>
    <row r="146" spans="1:2" x14ac:dyDescent="0.2">
      <c r="A146" s="163"/>
    </row>
    <row r="147" spans="1:2" x14ac:dyDescent="0.2">
      <c r="B147" s="205"/>
    </row>
    <row r="148" spans="1:2" x14ac:dyDescent="0.2">
      <c r="B148" s="202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"/>
  <sheetViews>
    <sheetView topLeftCell="A37" zoomScale="120" zoomScaleNormal="120" workbookViewId="0">
      <selection activeCell="M89" sqref="M89:M90"/>
    </sheetView>
  </sheetViews>
  <sheetFormatPr defaultRowHeight="10.5" x14ac:dyDescent="0.15"/>
  <cols>
    <col min="1" max="1" width="32.140625" style="39" customWidth="1"/>
    <col min="2" max="2" width="8.42578125" style="213" customWidth="1"/>
    <col min="3" max="3" width="7.5703125" style="121" customWidth="1"/>
    <col min="4" max="4" width="10" style="122" hidden="1" customWidth="1"/>
    <col min="5" max="5" width="10" style="270" hidden="1" customWidth="1"/>
    <col min="6" max="6" width="7" style="192" customWidth="1"/>
    <col min="7" max="7" width="10.5703125" style="192" hidden="1" customWidth="1"/>
    <col min="8" max="8" width="14" style="47" hidden="1" customWidth="1"/>
    <col min="9" max="9" width="12.140625" style="197" hidden="1" customWidth="1"/>
    <col min="10" max="10" width="7.42578125" style="228" customWidth="1"/>
    <col min="11" max="11" width="7" style="47" customWidth="1"/>
    <col min="12" max="12" width="16" style="197" hidden="1" customWidth="1"/>
    <col min="13" max="13" width="7.85546875" style="192" customWidth="1"/>
    <col min="14" max="14" width="10.140625" style="47" hidden="1" customWidth="1"/>
    <col min="15" max="15" width="7.7109375" style="47" customWidth="1"/>
    <col min="16" max="16" width="10.85546875" style="252" hidden="1" customWidth="1"/>
    <col min="17" max="17" width="6.5703125" style="228" customWidth="1"/>
    <col min="18" max="18" width="7.140625" style="47" customWidth="1"/>
    <col min="19" max="19" width="14.140625" style="197" hidden="1" customWidth="1"/>
    <col min="20" max="20" width="20.7109375" style="261" hidden="1" customWidth="1"/>
    <col min="21" max="21" width="16.7109375" style="206" hidden="1" customWidth="1"/>
    <col min="22" max="22" width="7.28515625" style="47" customWidth="1"/>
    <col min="23" max="23" width="7.5703125" style="47" customWidth="1"/>
    <col min="24" max="24" width="6.7109375" style="235" customWidth="1"/>
    <col min="25" max="25" width="7.7109375" style="39" customWidth="1"/>
    <col min="26" max="26" width="11.85546875" style="39" bestFit="1" customWidth="1"/>
    <col min="27" max="16384" width="9.140625" style="39"/>
  </cols>
  <sheetData>
    <row r="1" spans="1:27" x14ac:dyDescent="0.15">
      <c r="J1" s="192"/>
      <c r="Q1" s="192"/>
      <c r="X1" s="238"/>
    </row>
    <row r="2" spans="1:27" x14ac:dyDescent="0.15">
      <c r="D2" s="122">
        <f>D157</f>
        <v>44026503.189999998</v>
      </c>
      <c r="J2" s="192"/>
      <c r="L2" s="197">
        <f>L157</f>
        <v>78703224</v>
      </c>
      <c r="Q2" s="192"/>
      <c r="X2" s="238"/>
    </row>
    <row r="3" spans="1:27" x14ac:dyDescent="0.15">
      <c r="J3" s="192"/>
      <c r="N3" s="38"/>
      <c r="Q3" s="192"/>
      <c r="U3" s="206">
        <f>U10+U26+U31+U32+U33+U34+U35+U36+U37+U39+U40+U42+U53+U59+U65+U73+U77+U82+U98+U143+U105+U119+U131+U132+U133+U134+U139+U140+U141+U142+U145+U146+U147+U148+U149+U150+U153</f>
        <v>17721300.749999996</v>
      </c>
      <c r="X3" s="238"/>
    </row>
    <row r="4" spans="1:27" x14ac:dyDescent="0.15">
      <c r="A4" s="441" t="s">
        <v>345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239"/>
    </row>
    <row r="5" spans="1:27" x14ac:dyDescent="0.15">
      <c r="J5" s="192"/>
      <c r="Q5" s="192"/>
      <c r="X5" s="238"/>
    </row>
    <row r="6" spans="1:27" x14ac:dyDescent="0.15">
      <c r="A6" s="124" t="s">
        <v>114</v>
      </c>
      <c r="B6" s="212"/>
      <c r="C6" s="431" t="s">
        <v>111</v>
      </c>
      <c r="D6" s="432"/>
      <c r="E6" s="432"/>
      <c r="F6" s="432"/>
      <c r="G6" s="432"/>
      <c r="H6" s="432"/>
      <c r="I6" s="432"/>
      <c r="J6" s="432"/>
      <c r="K6" s="433"/>
      <c r="L6" s="198" t="s">
        <v>42</v>
      </c>
      <c r="M6" s="434" t="s">
        <v>112</v>
      </c>
      <c r="N6" s="435"/>
      <c r="O6" s="435"/>
      <c r="P6" s="435"/>
      <c r="Q6" s="435"/>
      <c r="R6" s="436"/>
      <c r="S6" s="219" t="s">
        <v>43</v>
      </c>
      <c r="T6" s="262" t="s">
        <v>346</v>
      </c>
      <c r="U6" s="207" t="s">
        <v>347</v>
      </c>
      <c r="V6" s="438" t="s">
        <v>113</v>
      </c>
      <c r="W6" s="439"/>
      <c r="X6" s="439"/>
      <c r="Y6" s="440"/>
    </row>
    <row r="7" spans="1:27" x14ac:dyDescent="0.15">
      <c r="A7" s="129" t="s">
        <v>96</v>
      </c>
      <c r="B7" s="214" t="s">
        <v>36</v>
      </c>
      <c r="C7" s="130" t="s">
        <v>246</v>
      </c>
      <c r="D7" s="131"/>
      <c r="E7" s="271" t="s">
        <v>121</v>
      </c>
      <c r="F7" s="193" t="s">
        <v>247</v>
      </c>
      <c r="G7" s="224"/>
      <c r="H7" s="44"/>
      <c r="I7" s="199" t="s">
        <v>123</v>
      </c>
      <c r="J7" s="229" t="s">
        <v>115</v>
      </c>
      <c r="K7" s="40" t="s">
        <v>340</v>
      </c>
      <c r="L7" s="199" t="s">
        <v>339</v>
      </c>
      <c r="M7" s="224" t="s">
        <v>248</v>
      </c>
      <c r="N7" s="44"/>
      <c r="O7" s="44" t="s">
        <v>249</v>
      </c>
      <c r="P7" s="253" t="s">
        <v>89</v>
      </c>
      <c r="Q7" s="229" t="s">
        <v>115</v>
      </c>
      <c r="R7" s="40" t="s">
        <v>340</v>
      </c>
      <c r="S7" s="199"/>
      <c r="T7" s="263"/>
      <c r="U7" s="208"/>
      <c r="V7" s="40" t="s">
        <v>250</v>
      </c>
      <c r="W7" s="40" t="s">
        <v>251</v>
      </c>
      <c r="X7" s="236" t="s">
        <v>115</v>
      </c>
      <c r="Y7" s="40" t="s">
        <v>340</v>
      </c>
    </row>
    <row r="8" spans="1:27" ht="9" customHeight="1" x14ac:dyDescent="0.15">
      <c r="A8" s="133"/>
      <c r="B8" s="215">
        <f>B157</f>
        <v>65.5</v>
      </c>
      <c r="C8" s="135"/>
      <c r="D8" s="136" t="s">
        <v>41</v>
      </c>
      <c r="E8" s="272" t="s">
        <v>40</v>
      </c>
      <c r="F8" s="222"/>
      <c r="G8" s="194"/>
      <c r="H8" s="36"/>
      <c r="I8" s="200"/>
      <c r="J8" s="230"/>
      <c r="K8" s="36"/>
      <c r="L8" s="200"/>
      <c r="M8" s="194"/>
      <c r="N8" s="190"/>
      <c r="O8" s="36"/>
      <c r="P8" s="254"/>
      <c r="Q8" s="230"/>
      <c r="R8" s="36"/>
      <c r="S8" s="220"/>
      <c r="T8" s="264"/>
      <c r="U8" s="209">
        <f>18483967.67-393967.32-368699.6</f>
        <v>17721300.75</v>
      </c>
      <c r="V8" s="48"/>
      <c r="W8" s="48"/>
      <c r="X8" s="230"/>
      <c r="Y8" s="36"/>
    </row>
    <row r="9" spans="1:27" s="175" customFormat="1" ht="10.5" customHeight="1" x14ac:dyDescent="0.15">
      <c r="A9" s="168" t="s">
        <v>49</v>
      </c>
      <c r="B9" s="216">
        <f>B10+B11+B26+B31+B32+B33+B35+B34+B36+B37+B39+B40</f>
        <v>13.16</v>
      </c>
      <c r="C9" s="258">
        <f t="shared" ref="C9:T9" si="0">C10+C11+C26+C31+C32+C33+C35+C34+C36+C37+C39+C40</f>
        <v>3861.1290425954198</v>
      </c>
      <c r="D9" s="269">
        <f t="shared" si="0"/>
        <v>3861129.0425954196</v>
      </c>
      <c r="E9" s="269">
        <f>E10+E11+E26+E31+E32+E33+E35+E34+E36+E37+E39+E40</f>
        <v>300635.64</v>
      </c>
      <c r="F9" s="258">
        <f>F10+F11+F26+F31+F32+F33+F35+F34+F36+F37+F39+F40</f>
        <v>4249.2185000000009</v>
      </c>
      <c r="G9" s="258">
        <f t="shared" si="0"/>
        <v>4249218.5</v>
      </c>
      <c r="H9" s="259">
        <f>L9-I9</f>
        <v>6946937</v>
      </c>
      <c r="I9" s="258">
        <f t="shared" si="0"/>
        <v>1551500</v>
      </c>
      <c r="J9" s="258">
        <f t="shared" si="0"/>
        <v>8498.4370000000017</v>
      </c>
      <c r="K9" s="258">
        <f t="shared" si="0"/>
        <v>8498.4370000000017</v>
      </c>
      <c r="L9" s="285">
        <f>L10+L11+L26+L31+L32+L33+L35+L34+L36+L37+L39+L40</f>
        <v>8498437</v>
      </c>
      <c r="M9" s="258">
        <f t="shared" si="0"/>
        <v>0</v>
      </c>
      <c r="N9" s="251">
        <f t="shared" si="0"/>
        <v>0</v>
      </c>
      <c r="O9" s="258">
        <f>O10+O11+O26+O31+O32+O33+O35+O34+O36+O37+O39+O40</f>
        <v>-262.5</v>
      </c>
      <c r="P9" s="251">
        <f>S9/2</f>
        <v>262500</v>
      </c>
      <c r="Q9" s="258">
        <f>Q10+Q11+Q26+Q31+Q32+Q33+Q35+Q34+Q36+Q37+Q39+Q40</f>
        <v>-525</v>
      </c>
      <c r="R9" s="258">
        <f t="shared" si="0"/>
        <v>-525</v>
      </c>
      <c r="S9" s="251">
        <f>S10+S11+S26+S31+S32+S33+S35+S34+S36+S37+S39+S40</f>
        <v>525000</v>
      </c>
      <c r="T9" s="280">
        <f t="shared" si="0"/>
        <v>0</v>
      </c>
      <c r="U9" s="251">
        <f>U10+U11+U26+U31+U32+U33+U35+U34+U36+U37+U39+U40</f>
        <v>3560493.4025954194</v>
      </c>
      <c r="V9" s="258">
        <f>V10+V11+V26+V31+V32+V33+V35+V34+V36+V37+V39+V40</f>
        <v>3861.1290425954198</v>
      </c>
      <c r="W9" s="258">
        <f>W10+W11+W26+W31+W32+W33+W35+W34+W36+W37+W39+W40</f>
        <v>3986.7184999999999</v>
      </c>
      <c r="X9" s="258">
        <f>X10+X11+X26+X31+X32+X33+X35+X34+X36+X37+X39+X40</f>
        <v>7973.4369999999999</v>
      </c>
      <c r="Y9" s="258">
        <f>Y10+Y11+Y26+Y31+Y32+Y33+Y35+Y34+Y36+Y37+Y39+Y40</f>
        <v>7973.4369999999999</v>
      </c>
      <c r="Z9" s="246"/>
      <c r="AA9" s="174"/>
    </row>
    <row r="10" spans="1:27" ht="9.9499999999999993" customHeight="1" x14ac:dyDescent="0.15">
      <c r="A10" s="142" t="s">
        <v>256</v>
      </c>
      <c r="B10" s="212">
        <f>SUM(B11:B25)</f>
        <v>6</v>
      </c>
      <c r="C10" s="257">
        <f>SUM(C11:C25)</f>
        <v>1678.3709795419848</v>
      </c>
      <c r="D10" s="257">
        <f t="shared" ref="D10:Y10" si="1">SUM(D11:D25)</f>
        <v>1678370.9795419849</v>
      </c>
      <c r="E10" s="269">
        <f t="shared" si="1"/>
        <v>55045.72</v>
      </c>
      <c r="F10" s="257">
        <f>SUM(F11:F25)</f>
        <v>1713.6485</v>
      </c>
      <c r="G10" s="257">
        <f>SUM(G11:G25)</f>
        <v>1713648.5</v>
      </c>
      <c r="H10" s="258">
        <f t="shared" ref="H10:H73" si="2">L10-I10</f>
        <v>3167297</v>
      </c>
      <c r="I10" s="257">
        <f>SUM(I11:I25)</f>
        <v>260000</v>
      </c>
      <c r="J10" s="257">
        <f t="shared" si="1"/>
        <v>3427.297</v>
      </c>
      <c r="K10" s="257">
        <f>SUM(K11:K25)</f>
        <v>3427.297</v>
      </c>
      <c r="L10" s="286">
        <f t="shared" si="1"/>
        <v>3427297</v>
      </c>
      <c r="M10" s="257">
        <f>SUM(M11:M25)</f>
        <v>0</v>
      </c>
      <c r="N10" s="279">
        <f t="shared" si="1"/>
        <v>0</v>
      </c>
      <c r="O10" s="281">
        <f t="shared" ref="O10:O39" si="3">P10/1000*-1</f>
        <v>0</v>
      </c>
      <c r="P10" s="251">
        <f t="shared" ref="P10:P73" si="4">S10/2</f>
        <v>0</v>
      </c>
      <c r="Q10" s="279">
        <f>SUM(Q11:Q25)</f>
        <v>0</v>
      </c>
      <c r="R10" s="279">
        <f t="shared" si="1"/>
        <v>0</v>
      </c>
      <c r="S10" s="279">
        <f t="shared" si="1"/>
        <v>0</v>
      </c>
      <c r="T10" s="282">
        <f t="shared" si="1"/>
        <v>0</v>
      </c>
      <c r="U10" s="280">
        <f>SUM(U11:U25)</f>
        <v>1623325.2595419849</v>
      </c>
      <c r="V10" s="284">
        <f t="shared" ref="V10:V72" si="5">C10+M10</f>
        <v>1678.3709795419848</v>
      </c>
      <c r="W10" s="257">
        <f t="shared" si="1"/>
        <v>1713.6485</v>
      </c>
      <c r="X10" s="257">
        <f t="shared" si="1"/>
        <v>3427.297</v>
      </c>
      <c r="Y10" s="257">
        <f t="shared" si="1"/>
        <v>3427.297</v>
      </c>
      <c r="Z10" s="283"/>
      <c r="AA10" s="47"/>
    </row>
    <row r="11" spans="1:27" ht="9.9499999999999993" hidden="1" customHeight="1" x14ac:dyDescent="0.15">
      <c r="A11" s="142"/>
      <c r="B11" s="212"/>
      <c r="C11" s="140"/>
      <c r="D11" s="41"/>
      <c r="E11" s="273"/>
      <c r="F11" s="195"/>
      <c r="G11" s="191"/>
      <c r="H11" s="246">
        <f t="shared" si="2"/>
        <v>0</v>
      </c>
      <c r="I11" s="198"/>
      <c r="J11" s="231"/>
      <c r="K11" s="41"/>
      <c r="L11" s="198"/>
      <c r="M11" s="195"/>
      <c r="N11" s="33"/>
      <c r="O11" s="41">
        <f t="shared" si="3"/>
        <v>0</v>
      </c>
      <c r="P11" s="251">
        <f t="shared" si="4"/>
        <v>0</v>
      </c>
      <c r="Q11" s="231"/>
      <c r="R11" s="41"/>
      <c r="S11" s="198"/>
      <c r="T11" s="265"/>
      <c r="U11" s="210">
        <f t="shared" ref="U11:U81" si="6">$U$8/$B$8*B11</f>
        <v>0</v>
      </c>
      <c r="V11" s="33">
        <f t="shared" si="5"/>
        <v>0</v>
      </c>
      <c r="W11" s="33"/>
      <c r="X11" s="231"/>
      <c r="Y11" s="41"/>
      <c r="Z11" s="47"/>
      <c r="AA11" s="47"/>
    </row>
    <row r="12" spans="1:27" ht="9.9499999999999993" customHeight="1" x14ac:dyDescent="0.15">
      <c r="A12" s="144" t="s">
        <v>257</v>
      </c>
      <c r="B12" s="215">
        <v>5.9</v>
      </c>
      <c r="C12" s="145">
        <f>D12/1000</f>
        <v>1651.3155585496183</v>
      </c>
      <c r="D12" s="191">
        <f t="shared" ref="D12:D24" si="7">E12+U12</f>
        <v>1651315.5585496183</v>
      </c>
      <c r="E12" s="274">
        <v>55045.72</v>
      </c>
      <c r="F12" s="196">
        <f>G12/1000</f>
        <v>1637.2545</v>
      </c>
      <c r="G12" s="191">
        <f>L12/2</f>
        <v>1637254.5</v>
      </c>
      <c r="H12" s="246">
        <f t="shared" si="2"/>
        <v>3114509</v>
      </c>
      <c r="I12" s="200">
        <f>L12-3114509</f>
        <v>160000</v>
      </c>
      <c r="J12" s="230">
        <f>K12</f>
        <v>3274.509</v>
      </c>
      <c r="K12" s="43">
        <f>L12/1000</f>
        <v>3274.509</v>
      </c>
      <c r="L12" s="198">
        <v>3274509</v>
      </c>
      <c r="M12" s="196">
        <f t="shared" ref="M12:M81" si="8">T12/1000*-1</f>
        <v>0</v>
      </c>
      <c r="N12" s="33"/>
      <c r="O12" s="43">
        <f t="shared" si="3"/>
        <v>0</v>
      </c>
      <c r="P12" s="251">
        <f t="shared" si="4"/>
        <v>0</v>
      </c>
      <c r="Q12" s="230">
        <f>R12</f>
        <v>0</v>
      </c>
      <c r="R12" s="43">
        <f t="shared" ref="R12:R75" si="9">S12/1000*-1</f>
        <v>0</v>
      </c>
      <c r="S12" s="200"/>
      <c r="T12" s="266"/>
      <c r="U12" s="227">
        <f>$U$8/$B$8*B12</f>
        <v>1596269.8385496184</v>
      </c>
      <c r="V12" s="36">
        <f t="shared" si="5"/>
        <v>1651.3155585496183</v>
      </c>
      <c r="W12" s="36">
        <f t="shared" ref="W12:W25" si="10">F12+O12</f>
        <v>1637.2545</v>
      </c>
      <c r="X12" s="230">
        <f t="shared" ref="X12:Y25" si="11">J12+Q12</f>
        <v>3274.509</v>
      </c>
      <c r="Y12" s="43">
        <f t="shared" si="11"/>
        <v>3274.509</v>
      </c>
      <c r="Z12" s="47"/>
      <c r="AA12" s="47"/>
    </row>
    <row r="13" spans="1:27" ht="9.9499999999999993" customHeight="1" x14ac:dyDescent="0.15">
      <c r="A13" s="144" t="s">
        <v>258</v>
      </c>
      <c r="B13" s="215">
        <v>0.1</v>
      </c>
      <c r="C13" s="145">
        <f t="shared" ref="C13:C14" si="12">D13/1000</f>
        <v>27.055420992366415</v>
      </c>
      <c r="D13" s="191">
        <f t="shared" si="7"/>
        <v>27055.420992366413</v>
      </c>
      <c r="E13" s="274"/>
      <c r="F13" s="196">
        <f>G13/1000</f>
        <v>76.394000000000005</v>
      </c>
      <c r="G13" s="191">
        <f t="shared" ref="G13:G76" si="13">L13/2</f>
        <v>76394</v>
      </c>
      <c r="H13" s="246">
        <f t="shared" si="2"/>
        <v>52788</v>
      </c>
      <c r="I13" s="200">
        <f>L13-52788</f>
        <v>100000</v>
      </c>
      <c r="J13" s="230">
        <f t="shared" ref="J13:J14" si="14">K13</f>
        <v>152.78800000000001</v>
      </c>
      <c r="K13" s="43">
        <f>L13/1000</f>
        <v>152.78800000000001</v>
      </c>
      <c r="L13" s="198">
        <v>152788</v>
      </c>
      <c r="M13" s="196">
        <f t="shared" si="8"/>
        <v>0</v>
      </c>
      <c r="N13" s="33"/>
      <c r="O13" s="43">
        <f t="shared" si="3"/>
        <v>0</v>
      </c>
      <c r="P13" s="251">
        <f t="shared" si="4"/>
        <v>0</v>
      </c>
      <c r="Q13" s="230">
        <f t="shared" ref="Q13:Q25" si="15">R13</f>
        <v>0</v>
      </c>
      <c r="R13" s="43">
        <f t="shared" si="9"/>
        <v>0</v>
      </c>
      <c r="S13" s="200"/>
      <c r="T13" s="266"/>
      <c r="U13" s="227">
        <f t="shared" si="6"/>
        <v>27055.420992366413</v>
      </c>
      <c r="V13" s="36">
        <f t="shared" si="5"/>
        <v>27.055420992366415</v>
      </c>
      <c r="W13" s="36">
        <f t="shared" si="10"/>
        <v>76.394000000000005</v>
      </c>
      <c r="X13" s="230">
        <f t="shared" si="11"/>
        <v>152.78800000000001</v>
      </c>
      <c r="Y13" s="43">
        <f t="shared" si="11"/>
        <v>152.78800000000001</v>
      </c>
      <c r="Z13" s="47"/>
      <c r="AA13" s="47"/>
    </row>
    <row r="14" spans="1:27" ht="9.9499999999999993" customHeight="1" x14ac:dyDescent="0.15">
      <c r="A14" s="144" t="s">
        <v>259</v>
      </c>
      <c r="B14" s="215">
        <v>0</v>
      </c>
      <c r="C14" s="145">
        <f t="shared" si="12"/>
        <v>0</v>
      </c>
      <c r="D14" s="191">
        <f t="shared" si="7"/>
        <v>0</v>
      </c>
      <c r="E14" s="273"/>
      <c r="F14" s="196">
        <f t="shared" ref="F14:F81" si="16">G14/1000</f>
        <v>0</v>
      </c>
      <c r="G14" s="191">
        <f t="shared" si="13"/>
        <v>0</v>
      </c>
      <c r="H14" s="246">
        <f t="shared" si="2"/>
        <v>0</v>
      </c>
      <c r="I14" s="200">
        <f t="shared" ref="I14:I76" si="17">L14</f>
        <v>0</v>
      </c>
      <c r="J14" s="230">
        <f t="shared" si="14"/>
        <v>0</v>
      </c>
      <c r="K14" s="43">
        <f t="shared" ref="K14:K25" si="18">L14/1000</f>
        <v>0</v>
      </c>
      <c r="L14" s="198"/>
      <c r="M14" s="196">
        <f t="shared" si="8"/>
        <v>0</v>
      </c>
      <c r="N14" s="33"/>
      <c r="O14" s="43">
        <f t="shared" si="3"/>
        <v>0</v>
      </c>
      <c r="P14" s="251">
        <f t="shared" si="4"/>
        <v>0</v>
      </c>
      <c r="Q14" s="230">
        <f t="shared" si="15"/>
        <v>0</v>
      </c>
      <c r="R14" s="43">
        <f t="shared" si="9"/>
        <v>0</v>
      </c>
      <c r="S14" s="200"/>
      <c r="T14" s="266"/>
      <c r="U14" s="227">
        <f t="shared" si="6"/>
        <v>0</v>
      </c>
      <c r="V14" s="36">
        <f t="shared" si="5"/>
        <v>0</v>
      </c>
      <c r="W14" s="36">
        <f t="shared" si="10"/>
        <v>0</v>
      </c>
      <c r="X14" s="230">
        <f t="shared" si="11"/>
        <v>0</v>
      </c>
      <c r="Y14" s="43">
        <f t="shared" si="11"/>
        <v>0</v>
      </c>
      <c r="Z14" s="47"/>
      <c r="AA14" s="47"/>
    </row>
    <row r="15" spans="1:27" ht="9.9499999999999993" hidden="1" customHeight="1" x14ac:dyDescent="0.15">
      <c r="A15" s="144"/>
      <c r="B15" s="215"/>
      <c r="C15" s="140"/>
      <c r="D15" s="41">
        <f t="shared" si="7"/>
        <v>0</v>
      </c>
      <c r="E15" s="273"/>
      <c r="F15" s="196">
        <f t="shared" si="16"/>
        <v>0</v>
      </c>
      <c r="G15" s="191">
        <f t="shared" si="13"/>
        <v>0</v>
      </c>
      <c r="H15" s="246">
        <f t="shared" si="2"/>
        <v>0</v>
      </c>
      <c r="I15" s="200">
        <f t="shared" si="17"/>
        <v>0</v>
      </c>
      <c r="J15" s="230"/>
      <c r="K15" s="43">
        <f t="shared" si="18"/>
        <v>0</v>
      </c>
      <c r="L15" s="198"/>
      <c r="M15" s="196">
        <f t="shared" si="8"/>
        <v>0</v>
      </c>
      <c r="N15" s="33"/>
      <c r="O15" s="41">
        <f t="shared" si="3"/>
        <v>0</v>
      </c>
      <c r="P15" s="251">
        <f t="shared" si="4"/>
        <v>0</v>
      </c>
      <c r="Q15" s="230">
        <f t="shared" si="15"/>
        <v>0</v>
      </c>
      <c r="R15" s="41">
        <f t="shared" si="9"/>
        <v>0</v>
      </c>
      <c r="S15" s="198"/>
      <c r="T15" s="265"/>
      <c r="U15" s="210">
        <f t="shared" si="6"/>
        <v>0</v>
      </c>
      <c r="V15" s="33">
        <f t="shared" si="5"/>
        <v>0</v>
      </c>
      <c r="W15" s="33">
        <f t="shared" si="10"/>
        <v>0</v>
      </c>
      <c r="X15" s="231">
        <f t="shared" si="11"/>
        <v>0</v>
      </c>
      <c r="Y15" s="41">
        <f t="shared" si="11"/>
        <v>0</v>
      </c>
      <c r="Z15" s="47"/>
      <c r="AA15" s="47"/>
    </row>
    <row r="16" spans="1:27" ht="9.9499999999999993" hidden="1" customHeight="1" x14ac:dyDescent="0.15">
      <c r="A16" s="144"/>
      <c r="B16" s="215"/>
      <c r="C16" s="140"/>
      <c r="D16" s="41">
        <f t="shared" si="7"/>
        <v>0</v>
      </c>
      <c r="E16" s="273"/>
      <c r="F16" s="196">
        <f t="shared" si="16"/>
        <v>0</v>
      </c>
      <c r="G16" s="191">
        <f t="shared" si="13"/>
        <v>0</v>
      </c>
      <c r="H16" s="246">
        <f t="shared" si="2"/>
        <v>0</v>
      </c>
      <c r="I16" s="200">
        <f t="shared" si="17"/>
        <v>0</v>
      </c>
      <c r="J16" s="230"/>
      <c r="K16" s="43">
        <f t="shared" si="18"/>
        <v>0</v>
      </c>
      <c r="L16" s="198"/>
      <c r="M16" s="196">
        <f t="shared" si="8"/>
        <v>0</v>
      </c>
      <c r="N16" s="33"/>
      <c r="O16" s="41">
        <f t="shared" si="3"/>
        <v>0</v>
      </c>
      <c r="P16" s="251">
        <f t="shared" si="4"/>
        <v>0</v>
      </c>
      <c r="Q16" s="230">
        <f t="shared" si="15"/>
        <v>0</v>
      </c>
      <c r="R16" s="41">
        <f t="shared" si="9"/>
        <v>0</v>
      </c>
      <c r="S16" s="198"/>
      <c r="T16" s="265"/>
      <c r="U16" s="210">
        <f t="shared" si="6"/>
        <v>0</v>
      </c>
      <c r="V16" s="33">
        <f t="shared" si="5"/>
        <v>0</v>
      </c>
      <c r="W16" s="33">
        <f t="shared" si="10"/>
        <v>0</v>
      </c>
      <c r="X16" s="231">
        <f t="shared" si="11"/>
        <v>0</v>
      </c>
      <c r="Y16" s="41">
        <f t="shared" si="11"/>
        <v>0</v>
      </c>
      <c r="Z16" s="47"/>
      <c r="AA16" s="47"/>
    </row>
    <row r="17" spans="1:27" ht="9.9499999999999993" hidden="1" customHeight="1" x14ac:dyDescent="0.15">
      <c r="A17" s="144"/>
      <c r="B17" s="215"/>
      <c r="C17" s="140"/>
      <c r="D17" s="41">
        <f t="shared" si="7"/>
        <v>0</v>
      </c>
      <c r="E17" s="273"/>
      <c r="F17" s="196">
        <f t="shared" si="16"/>
        <v>0</v>
      </c>
      <c r="G17" s="191">
        <f t="shared" si="13"/>
        <v>0</v>
      </c>
      <c r="H17" s="246">
        <f t="shared" si="2"/>
        <v>0</v>
      </c>
      <c r="I17" s="200">
        <f t="shared" si="17"/>
        <v>0</v>
      </c>
      <c r="J17" s="230"/>
      <c r="K17" s="43">
        <f t="shared" si="18"/>
        <v>0</v>
      </c>
      <c r="L17" s="198"/>
      <c r="M17" s="196">
        <f t="shared" si="8"/>
        <v>0</v>
      </c>
      <c r="N17" s="33"/>
      <c r="O17" s="41">
        <f t="shared" si="3"/>
        <v>0</v>
      </c>
      <c r="P17" s="251">
        <f t="shared" si="4"/>
        <v>0</v>
      </c>
      <c r="Q17" s="230">
        <f t="shared" si="15"/>
        <v>0</v>
      </c>
      <c r="R17" s="41">
        <f t="shared" si="9"/>
        <v>0</v>
      </c>
      <c r="S17" s="198"/>
      <c r="T17" s="265"/>
      <c r="U17" s="210">
        <f t="shared" si="6"/>
        <v>0</v>
      </c>
      <c r="V17" s="33">
        <f t="shared" si="5"/>
        <v>0</v>
      </c>
      <c r="W17" s="33">
        <f t="shared" si="10"/>
        <v>0</v>
      </c>
      <c r="X17" s="231">
        <f t="shared" si="11"/>
        <v>0</v>
      </c>
      <c r="Y17" s="41">
        <f t="shared" si="11"/>
        <v>0</v>
      </c>
      <c r="Z17" s="47"/>
      <c r="AA17" s="47"/>
    </row>
    <row r="18" spans="1:27" ht="9.9499999999999993" hidden="1" customHeight="1" x14ac:dyDescent="0.15">
      <c r="A18" s="144"/>
      <c r="B18" s="215"/>
      <c r="C18" s="140"/>
      <c r="D18" s="41">
        <f t="shared" si="7"/>
        <v>0</v>
      </c>
      <c r="E18" s="273"/>
      <c r="F18" s="196">
        <f t="shared" si="16"/>
        <v>0</v>
      </c>
      <c r="G18" s="191">
        <f t="shared" si="13"/>
        <v>0</v>
      </c>
      <c r="H18" s="246">
        <f t="shared" si="2"/>
        <v>0</v>
      </c>
      <c r="I18" s="200">
        <f t="shared" si="17"/>
        <v>0</v>
      </c>
      <c r="J18" s="230"/>
      <c r="K18" s="43">
        <f t="shared" si="18"/>
        <v>0</v>
      </c>
      <c r="L18" s="198"/>
      <c r="M18" s="196">
        <f t="shared" si="8"/>
        <v>0</v>
      </c>
      <c r="N18" s="33"/>
      <c r="O18" s="41">
        <f t="shared" si="3"/>
        <v>0</v>
      </c>
      <c r="P18" s="251">
        <f t="shared" si="4"/>
        <v>0</v>
      </c>
      <c r="Q18" s="230">
        <f t="shared" si="15"/>
        <v>0</v>
      </c>
      <c r="R18" s="41">
        <f t="shared" si="9"/>
        <v>0</v>
      </c>
      <c r="S18" s="198"/>
      <c r="T18" s="265"/>
      <c r="U18" s="210">
        <f t="shared" si="6"/>
        <v>0</v>
      </c>
      <c r="V18" s="33">
        <f t="shared" si="5"/>
        <v>0</v>
      </c>
      <c r="W18" s="33">
        <f t="shared" si="10"/>
        <v>0</v>
      </c>
      <c r="X18" s="231">
        <f t="shared" si="11"/>
        <v>0</v>
      </c>
      <c r="Y18" s="41">
        <f t="shared" si="11"/>
        <v>0</v>
      </c>
      <c r="Z18" s="47"/>
      <c r="AA18" s="47"/>
    </row>
    <row r="19" spans="1:27" ht="9.9499999999999993" hidden="1" customHeight="1" x14ac:dyDescent="0.15">
      <c r="A19" s="144"/>
      <c r="B19" s="215"/>
      <c r="C19" s="140"/>
      <c r="D19" s="41">
        <f t="shared" si="7"/>
        <v>0</v>
      </c>
      <c r="E19" s="273"/>
      <c r="F19" s="196">
        <f t="shared" si="16"/>
        <v>0</v>
      </c>
      <c r="G19" s="191">
        <f t="shared" si="13"/>
        <v>0</v>
      </c>
      <c r="H19" s="246">
        <f t="shared" si="2"/>
        <v>0</v>
      </c>
      <c r="I19" s="200">
        <f t="shared" si="17"/>
        <v>0</v>
      </c>
      <c r="J19" s="230"/>
      <c r="K19" s="43">
        <f t="shared" si="18"/>
        <v>0</v>
      </c>
      <c r="L19" s="198"/>
      <c r="M19" s="196">
        <f t="shared" si="8"/>
        <v>0</v>
      </c>
      <c r="N19" s="33"/>
      <c r="O19" s="41">
        <f t="shared" si="3"/>
        <v>0</v>
      </c>
      <c r="P19" s="251">
        <f t="shared" si="4"/>
        <v>0</v>
      </c>
      <c r="Q19" s="230">
        <f t="shared" si="15"/>
        <v>0</v>
      </c>
      <c r="R19" s="41">
        <f t="shared" si="9"/>
        <v>0</v>
      </c>
      <c r="S19" s="198"/>
      <c r="T19" s="265"/>
      <c r="U19" s="210">
        <f t="shared" si="6"/>
        <v>0</v>
      </c>
      <c r="V19" s="33">
        <f t="shared" si="5"/>
        <v>0</v>
      </c>
      <c r="W19" s="33">
        <f t="shared" si="10"/>
        <v>0</v>
      </c>
      <c r="X19" s="231">
        <f t="shared" si="11"/>
        <v>0</v>
      </c>
      <c r="Y19" s="41">
        <f t="shared" si="11"/>
        <v>0</v>
      </c>
      <c r="Z19" s="47"/>
      <c r="AA19" s="47"/>
    </row>
    <row r="20" spans="1:27" ht="9.9499999999999993" hidden="1" customHeight="1" x14ac:dyDescent="0.15">
      <c r="A20" s="144"/>
      <c r="B20" s="215"/>
      <c r="C20" s="140"/>
      <c r="D20" s="41">
        <v>0</v>
      </c>
      <c r="E20" s="273">
        <v>0</v>
      </c>
      <c r="F20" s="196">
        <f t="shared" si="16"/>
        <v>0</v>
      </c>
      <c r="G20" s="191">
        <f t="shared" si="13"/>
        <v>0</v>
      </c>
      <c r="H20" s="246">
        <f t="shared" si="2"/>
        <v>0</v>
      </c>
      <c r="I20" s="200">
        <f t="shared" si="17"/>
        <v>0</v>
      </c>
      <c r="J20" s="230"/>
      <c r="K20" s="43">
        <f t="shared" si="18"/>
        <v>0</v>
      </c>
      <c r="L20" s="198"/>
      <c r="M20" s="196">
        <f t="shared" si="8"/>
        <v>0</v>
      </c>
      <c r="N20" s="33"/>
      <c r="O20" s="41">
        <f t="shared" si="3"/>
        <v>0</v>
      </c>
      <c r="P20" s="251">
        <f t="shared" si="4"/>
        <v>0</v>
      </c>
      <c r="Q20" s="230">
        <f t="shared" si="15"/>
        <v>0</v>
      </c>
      <c r="R20" s="41">
        <f t="shared" si="9"/>
        <v>0</v>
      </c>
      <c r="S20" s="198"/>
      <c r="T20" s="265"/>
      <c r="U20" s="210">
        <f t="shared" si="6"/>
        <v>0</v>
      </c>
      <c r="V20" s="33">
        <f t="shared" si="5"/>
        <v>0</v>
      </c>
      <c r="W20" s="33">
        <f t="shared" si="10"/>
        <v>0</v>
      </c>
      <c r="X20" s="231">
        <f t="shared" si="11"/>
        <v>0</v>
      </c>
      <c r="Y20" s="41">
        <f t="shared" si="11"/>
        <v>0</v>
      </c>
      <c r="Z20" s="47"/>
      <c r="AA20" s="47"/>
    </row>
    <row r="21" spans="1:27" ht="9.9499999999999993" hidden="1" customHeight="1" x14ac:dyDescent="0.15">
      <c r="A21" s="144"/>
      <c r="B21" s="215"/>
      <c r="C21" s="140"/>
      <c r="D21" s="41">
        <v>0</v>
      </c>
      <c r="E21" s="273">
        <v>0</v>
      </c>
      <c r="F21" s="196">
        <f t="shared" si="16"/>
        <v>0</v>
      </c>
      <c r="G21" s="191">
        <f t="shared" si="13"/>
        <v>0</v>
      </c>
      <c r="H21" s="246">
        <f t="shared" si="2"/>
        <v>0</v>
      </c>
      <c r="I21" s="200">
        <f t="shared" si="17"/>
        <v>0</v>
      </c>
      <c r="J21" s="230"/>
      <c r="K21" s="43">
        <f t="shared" si="18"/>
        <v>0</v>
      </c>
      <c r="L21" s="198"/>
      <c r="M21" s="196">
        <f t="shared" si="8"/>
        <v>0</v>
      </c>
      <c r="N21" s="33"/>
      <c r="O21" s="41">
        <f t="shared" si="3"/>
        <v>0</v>
      </c>
      <c r="P21" s="251">
        <f t="shared" si="4"/>
        <v>0</v>
      </c>
      <c r="Q21" s="230">
        <f t="shared" si="15"/>
        <v>0</v>
      </c>
      <c r="R21" s="41">
        <f t="shared" si="9"/>
        <v>0</v>
      </c>
      <c r="S21" s="198"/>
      <c r="T21" s="265"/>
      <c r="U21" s="210">
        <f t="shared" si="6"/>
        <v>0</v>
      </c>
      <c r="V21" s="33">
        <f t="shared" si="5"/>
        <v>0</v>
      </c>
      <c r="W21" s="33">
        <f t="shared" si="10"/>
        <v>0</v>
      </c>
      <c r="X21" s="231">
        <f t="shared" si="11"/>
        <v>0</v>
      </c>
      <c r="Y21" s="41">
        <f t="shared" si="11"/>
        <v>0</v>
      </c>
      <c r="Z21" s="47"/>
      <c r="AA21" s="47"/>
    </row>
    <row r="22" spans="1:27" ht="9.9499999999999993" hidden="1" customHeight="1" x14ac:dyDescent="0.15">
      <c r="A22" s="144"/>
      <c r="B22" s="215"/>
      <c r="C22" s="140"/>
      <c r="D22" s="41">
        <f t="shared" si="7"/>
        <v>0</v>
      </c>
      <c r="E22" s="273"/>
      <c r="F22" s="196">
        <f t="shared" si="16"/>
        <v>0</v>
      </c>
      <c r="G22" s="191">
        <f t="shared" si="13"/>
        <v>0</v>
      </c>
      <c r="H22" s="246">
        <f t="shared" si="2"/>
        <v>0</v>
      </c>
      <c r="I22" s="200">
        <f t="shared" si="17"/>
        <v>0</v>
      </c>
      <c r="J22" s="230"/>
      <c r="K22" s="43">
        <f t="shared" si="18"/>
        <v>0</v>
      </c>
      <c r="L22" s="198"/>
      <c r="M22" s="196">
        <f t="shared" si="8"/>
        <v>0</v>
      </c>
      <c r="N22" s="33"/>
      <c r="O22" s="41">
        <f t="shared" si="3"/>
        <v>0</v>
      </c>
      <c r="P22" s="251">
        <f t="shared" si="4"/>
        <v>0</v>
      </c>
      <c r="Q22" s="230">
        <f t="shared" si="15"/>
        <v>0</v>
      </c>
      <c r="R22" s="41">
        <f t="shared" si="9"/>
        <v>0</v>
      </c>
      <c r="S22" s="198"/>
      <c r="T22" s="265"/>
      <c r="U22" s="210">
        <f t="shared" si="6"/>
        <v>0</v>
      </c>
      <c r="V22" s="33">
        <f t="shared" si="5"/>
        <v>0</v>
      </c>
      <c r="W22" s="33">
        <f t="shared" si="10"/>
        <v>0</v>
      </c>
      <c r="X22" s="231">
        <f t="shared" si="11"/>
        <v>0</v>
      </c>
      <c r="Y22" s="41">
        <f t="shared" si="11"/>
        <v>0</v>
      </c>
      <c r="Z22" s="47"/>
      <c r="AA22" s="47"/>
    </row>
    <row r="23" spans="1:27" ht="9.9499999999999993" hidden="1" customHeight="1" x14ac:dyDescent="0.15">
      <c r="A23" s="144"/>
      <c r="B23" s="215"/>
      <c r="C23" s="140"/>
      <c r="D23" s="41">
        <f t="shared" si="7"/>
        <v>0</v>
      </c>
      <c r="E23" s="273"/>
      <c r="F23" s="196">
        <f t="shared" si="16"/>
        <v>0</v>
      </c>
      <c r="G23" s="191">
        <f t="shared" si="13"/>
        <v>0</v>
      </c>
      <c r="H23" s="246">
        <f t="shared" si="2"/>
        <v>0</v>
      </c>
      <c r="I23" s="200">
        <f t="shared" si="17"/>
        <v>0</v>
      </c>
      <c r="J23" s="230"/>
      <c r="K23" s="43">
        <f t="shared" si="18"/>
        <v>0</v>
      </c>
      <c r="L23" s="198"/>
      <c r="M23" s="196">
        <f t="shared" si="8"/>
        <v>0</v>
      </c>
      <c r="N23" s="33"/>
      <c r="O23" s="41">
        <f t="shared" si="3"/>
        <v>0</v>
      </c>
      <c r="P23" s="251">
        <f t="shared" si="4"/>
        <v>0</v>
      </c>
      <c r="Q23" s="230">
        <f t="shared" si="15"/>
        <v>0</v>
      </c>
      <c r="R23" s="41">
        <f t="shared" si="9"/>
        <v>0</v>
      </c>
      <c r="S23" s="198"/>
      <c r="T23" s="265"/>
      <c r="U23" s="210">
        <f t="shared" si="6"/>
        <v>0</v>
      </c>
      <c r="V23" s="33">
        <f t="shared" si="5"/>
        <v>0</v>
      </c>
      <c r="W23" s="33">
        <f t="shared" si="10"/>
        <v>0</v>
      </c>
      <c r="X23" s="231">
        <f t="shared" si="11"/>
        <v>0</v>
      </c>
      <c r="Y23" s="41">
        <f t="shared" si="11"/>
        <v>0</v>
      </c>
      <c r="Z23" s="47"/>
      <c r="AA23" s="47"/>
    </row>
    <row r="24" spans="1:27" ht="9.9499999999999993" hidden="1" customHeight="1" x14ac:dyDescent="0.15">
      <c r="A24" s="144"/>
      <c r="B24" s="215"/>
      <c r="C24" s="140"/>
      <c r="D24" s="41">
        <f t="shared" si="7"/>
        <v>0</v>
      </c>
      <c r="E24" s="273"/>
      <c r="F24" s="196">
        <f t="shared" si="16"/>
        <v>0</v>
      </c>
      <c r="G24" s="191">
        <f t="shared" si="13"/>
        <v>0</v>
      </c>
      <c r="H24" s="246">
        <f t="shared" si="2"/>
        <v>0</v>
      </c>
      <c r="I24" s="200">
        <f t="shared" si="17"/>
        <v>0</v>
      </c>
      <c r="J24" s="230"/>
      <c r="K24" s="43">
        <f t="shared" si="18"/>
        <v>0</v>
      </c>
      <c r="L24" s="198"/>
      <c r="M24" s="196">
        <f t="shared" si="8"/>
        <v>0</v>
      </c>
      <c r="N24" s="33"/>
      <c r="O24" s="41">
        <f t="shared" si="3"/>
        <v>0</v>
      </c>
      <c r="P24" s="251">
        <f t="shared" si="4"/>
        <v>0</v>
      </c>
      <c r="Q24" s="230">
        <f t="shared" si="15"/>
        <v>0</v>
      </c>
      <c r="R24" s="41">
        <f t="shared" si="9"/>
        <v>0</v>
      </c>
      <c r="S24" s="198"/>
      <c r="T24" s="265"/>
      <c r="U24" s="210">
        <f t="shared" si="6"/>
        <v>0</v>
      </c>
      <c r="V24" s="33">
        <f t="shared" si="5"/>
        <v>0</v>
      </c>
      <c r="W24" s="33">
        <f t="shared" si="10"/>
        <v>0</v>
      </c>
      <c r="X24" s="231">
        <f t="shared" si="11"/>
        <v>0</v>
      </c>
      <c r="Y24" s="41">
        <f t="shared" si="11"/>
        <v>0</v>
      </c>
      <c r="Z24" s="47"/>
      <c r="AA24" s="47"/>
    </row>
    <row r="25" spans="1:27" ht="9.9499999999999993" hidden="1" customHeight="1" x14ac:dyDescent="0.15">
      <c r="A25" s="144"/>
      <c r="B25" s="212"/>
      <c r="C25" s="140"/>
      <c r="D25" s="41"/>
      <c r="E25" s="273"/>
      <c r="F25" s="195">
        <f t="shared" si="16"/>
        <v>0</v>
      </c>
      <c r="G25" s="191">
        <f t="shared" si="13"/>
        <v>0</v>
      </c>
      <c r="H25" s="246">
        <f t="shared" si="2"/>
        <v>0</v>
      </c>
      <c r="I25" s="200">
        <f t="shared" si="17"/>
        <v>0</v>
      </c>
      <c r="J25" s="231"/>
      <c r="K25" s="41">
        <f t="shared" si="18"/>
        <v>0</v>
      </c>
      <c r="L25" s="198"/>
      <c r="M25" s="195">
        <f t="shared" si="8"/>
        <v>0</v>
      </c>
      <c r="N25" s="33"/>
      <c r="O25" s="41">
        <f t="shared" si="3"/>
        <v>0</v>
      </c>
      <c r="P25" s="251">
        <f t="shared" si="4"/>
        <v>0</v>
      </c>
      <c r="Q25" s="230">
        <f t="shared" si="15"/>
        <v>0</v>
      </c>
      <c r="R25" s="41">
        <f t="shared" si="9"/>
        <v>0</v>
      </c>
      <c r="S25" s="198"/>
      <c r="T25" s="265"/>
      <c r="U25" s="210">
        <f t="shared" si="6"/>
        <v>0</v>
      </c>
      <c r="V25" s="33">
        <f t="shared" si="5"/>
        <v>0</v>
      </c>
      <c r="W25" s="33">
        <f t="shared" si="10"/>
        <v>0</v>
      </c>
      <c r="X25" s="231">
        <f t="shared" si="11"/>
        <v>0</v>
      </c>
      <c r="Y25" s="41">
        <f t="shared" si="11"/>
        <v>0</v>
      </c>
      <c r="Z25" s="47"/>
      <c r="AA25" s="47"/>
    </row>
    <row r="26" spans="1:27" ht="9.9499999999999993" customHeight="1" x14ac:dyDescent="0.15">
      <c r="A26" s="142" t="s">
        <v>272</v>
      </c>
      <c r="B26" s="212">
        <f>B27+B28+B29+B30</f>
        <v>1.55</v>
      </c>
      <c r="C26" s="140">
        <f t="shared" ref="C26:C89" si="19">D26/1000</f>
        <v>423.97208538167934</v>
      </c>
      <c r="D26" s="41">
        <f>SUM(D27:D28)</f>
        <v>423972.08538167935</v>
      </c>
      <c r="E26" s="247">
        <f>SUM(E27:E30)</f>
        <v>4613.0600000000004</v>
      </c>
      <c r="F26" s="195">
        <f t="shared" si="16"/>
        <v>424.10899999999998</v>
      </c>
      <c r="G26" s="191">
        <f t="shared" si="13"/>
        <v>424109</v>
      </c>
      <c r="H26" s="246">
        <f>SUM(H27:H28)</f>
        <v>818218</v>
      </c>
      <c r="I26" s="198">
        <f>SUM(I27:I28)</f>
        <v>30000</v>
      </c>
      <c r="J26" s="231">
        <f>SUM(J27:J30)</f>
        <v>848.21800000000007</v>
      </c>
      <c r="K26" s="41">
        <f>L26/1000</f>
        <v>848.21799999999996</v>
      </c>
      <c r="L26" s="198">
        <f>L27+L28</f>
        <v>848218</v>
      </c>
      <c r="M26" s="195">
        <f t="shared" si="8"/>
        <v>0</v>
      </c>
      <c r="N26" s="33">
        <f>N27+N28+N29+N30</f>
        <v>0</v>
      </c>
      <c r="O26" s="41">
        <f t="shared" si="3"/>
        <v>0</v>
      </c>
      <c r="P26" s="251">
        <f t="shared" si="4"/>
        <v>0</v>
      </c>
      <c r="Q26" s="231">
        <f>SUM(Q27:Q30)</f>
        <v>0</v>
      </c>
      <c r="R26" s="41">
        <f t="shared" si="9"/>
        <v>0</v>
      </c>
      <c r="S26" s="198">
        <f>SUM(S27:S30)</f>
        <v>0</v>
      </c>
      <c r="T26" s="265">
        <f>SUM(T27:T30)</f>
        <v>0</v>
      </c>
      <c r="U26" s="210">
        <f>SUM(U27:U28)</f>
        <v>419359.02538167936</v>
      </c>
      <c r="V26" s="33">
        <f t="shared" si="5"/>
        <v>423.97208538167934</v>
      </c>
      <c r="W26" s="33">
        <f>F26+O26</f>
        <v>424.10899999999998</v>
      </c>
      <c r="X26" s="231">
        <f>J26+Q26</f>
        <v>848.21800000000007</v>
      </c>
      <c r="Y26" s="41">
        <f>K26+R26</f>
        <v>848.21799999999996</v>
      </c>
      <c r="Z26" s="47"/>
      <c r="AA26" s="47"/>
    </row>
    <row r="27" spans="1:27" ht="9.9499999999999993" customHeight="1" x14ac:dyDescent="0.15">
      <c r="A27" s="144" t="s">
        <v>260</v>
      </c>
      <c r="B27" s="215">
        <v>0.5</v>
      </c>
      <c r="C27" s="145">
        <f t="shared" si="19"/>
        <v>135.27710496183207</v>
      </c>
      <c r="D27" s="191">
        <f t="shared" ref="D27:D98" si="20">E27+U27</f>
        <v>135277.10496183205</v>
      </c>
      <c r="E27" s="273"/>
      <c r="F27" s="196">
        <f t="shared" si="16"/>
        <v>134.47049999999999</v>
      </c>
      <c r="G27" s="191">
        <f>L27/2</f>
        <v>134470.5</v>
      </c>
      <c r="H27" s="246">
        <f t="shared" si="2"/>
        <v>263941</v>
      </c>
      <c r="I27" s="200">
        <f>L27-263941</f>
        <v>5000</v>
      </c>
      <c r="J27" s="230">
        <f>K27</f>
        <v>268.94099999999997</v>
      </c>
      <c r="K27" s="43">
        <f t="shared" ref="K27:K100" si="21">L27/1000</f>
        <v>268.94099999999997</v>
      </c>
      <c r="L27" s="200">
        <v>268941</v>
      </c>
      <c r="M27" s="196">
        <f t="shared" si="8"/>
        <v>0</v>
      </c>
      <c r="N27" s="33"/>
      <c r="O27" s="43">
        <f t="shared" si="3"/>
        <v>0</v>
      </c>
      <c r="P27" s="251">
        <f t="shared" si="4"/>
        <v>0</v>
      </c>
      <c r="Q27" s="230">
        <f>R27</f>
        <v>0</v>
      </c>
      <c r="R27" s="43">
        <f t="shared" si="9"/>
        <v>0</v>
      </c>
      <c r="S27" s="200"/>
      <c r="T27" s="266"/>
      <c r="U27" s="227">
        <f t="shared" si="6"/>
        <v>135277.10496183205</v>
      </c>
      <c r="V27" s="36">
        <f t="shared" si="5"/>
        <v>135.27710496183207</v>
      </c>
      <c r="W27" s="36">
        <f>F27+O27</f>
        <v>134.47049999999999</v>
      </c>
      <c r="X27" s="230">
        <f>J27+Q27</f>
        <v>268.94099999999997</v>
      </c>
      <c r="Y27" s="43">
        <f>K27+R27</f>
        <v>268.94099999999997</v>
      </c>
      <c r="Z27" s="47"/>
      <c r="AA27" s="47"/>
    </row>
    <row r="28" spans="1:27" ht="9.9499999999999993" customHeight="1" x14ac:dyDescent="0.15">
      <c r="A28" s="144" t="s">
        <v>261</v>
      </c>
      <c r="B28" s="215">
        <v>1.05</v>
      </c>
      <c r="C28" s="145">
        <f t="shared" si="19"/>
        <v>288.6949804198473</v>
      </c>
      <c r="D28" s="191">
        <f t="shared" si="20"/>
        <v>288694.9804198473</v>
      </c>
      <c r="E28" s="273">
        <v>4613.0600000000004</v>
      </c>
      <c r="F28" s="196">
        <f t="shared" si="16"/>
        <v>289.63850000000002</v>
      </c>
      <c r="G28" s="191">
        <f t="shared" si="13"/>
        <v>289638.5</v>
      </c>
      <c r="H28" s="246">
        <f t="shared" si="2"/>
        <v>554277</v>
      </c>
      <c r="I28" s="200">
        <f>L28-554277</f>
        <v>25000</v>
      </c>
      <c r="J28" s="230">
        <f t="shared" ref="J28:J40" si="22">K28</f>
        <v>579.27700000000004</v>
      </c>
      <c r="K28" s="43">
        <f t="shared" si="21"/>
        <v>579.27700000000004</v>
      </c>
      <c r="L28" s="200">
        <v>579277</v>
      </c>
      <c r="M28" s="196">
        <f t="shared" si="8"/>
        <v>0</v>
      </c>
      <c r="N28" s="33"/>
      <c r="O28" s="43">
        <f t="shared" si="3"/>
        <v>0</v>
      </c>
      <c r="P28" s="251">
        <f t="shared" si="4"/>
        <v>0</v>
      </c>
      <c r="Q28" s="230">
        <f t="shared" ref="Q28:Q40" si="23">R28</f>
        <v>0</v>
      </c>
      <c r="R28" s="43">
        <f t="shared" si="9"/>
        <v>0</v>
      </c>
      <c r="S28" s="200"/>
      <c r="T28" s="266"/>
      <c r="U28" s="227">
        <f t="shared" si="6"/>
        <v>284081.9204198473</v>
      </c>
      <c r="V28" s="36">
        <f t="shared" si="5"/>
        <v>288.6949804198473</v>
      </c>
      <c r="W28" s="36">
        <f t="shared" ref="W28:W72" si="24">F28+O28</f>
        <v>289.63850000000002</v>
      </c>
      <c r="X28" s="230">
        <f t="shared" ref="X28:Y43" si="25">J28+Q28</f>
        <v>579.27700000000004</v>
      </c>
      <c r="Y28" s="43">
        <f t="shared" si="25"/>
        <v>579.27700000000004</v>
      </c>
      <c r="Z28" s="47"/>
      <c r="AA28" s="47"/>
    </row>
    <row r="29" spans="1:27" ht="9.9499999999999993" hidden="1" customHeight="1" x14ac:dyDescent="0.15">
      <c r="A29" s="144">
        <v>0</v>
      </c>
      <c r="B29" s="215">
        <v>0</v>
      </c>
      <c r="C29" s="140">
        <f t="shared" si="19"/>
        <v>0</v>
      </c>
      <c r="D29" s="41">
        <f t="shared" si="20"/>
        <v>0</v>
      </c>
      <c r="E29" s="274"/>
      <c r="F29" s="196">
        <f t="shared" si="16"/>
        <v>0</v>
      </c>
      <c r="G29" s="191">
        <f t="shared" si="13"/>
        <v>0</v>
      </c>
      <c r="H29" s="246">
        <f t="shared" si="2"/>
        <v>0</v>
      </c>
      <c r="I29" s="200">
        <f t="shared" si="17"/>
        <v>0</v>
      </c>
      <c r="J29" s="230">
        <f t="shared" si="22"/>
        <v>0</v>
      </c>
      <c r="K29" s="43">
        <f t="shared" si="21"/>
        <v>0</v>
      </c>
      <c r="L29" s="200"/>
      <c r="M29" s="196">
        <f t="shared" si="8"/>
        <v>0</v>
      </c>
      <c r="N29" s="36"/>
      <c r="O29" s="41">
        <f t="shared" si="3"/>
        <v>0</v>
      </c>
      <c r="P29" s="251">
        <f t="shared" si="4"/>
        <v>0</v>
      </c>
      <c r="Q29" s="230">
        <f t="shared" si="23"/>
        <v>0</v>
      </c>
      <c r="R29" s="41">
        <f t="shared" si="9"/>
        <v>0</v>
      </c>
      <c r="S29" s="200"/>
      <c r="T29" s="266"/>
      <c r="U29" s="210">
        <f t="shared" si="6"/>
        <v>0</v>
      </c>
      <c r="V29" s="33">
        <f t="shared" si="5"/>
        <v>0</v>
      </c>
      <c r="W29" s="36">
        <f t="shared" si="24"/>
        <v>0</v>
      </c>
      <c r="X29" s="230">
        <f t="shared" si="25"/>
        <v>0</v>
      </c>
      <c r="Y29" s="43">
        <f t="shared" si="25"/>
        <v>0</v>
      </c>
      <c r="Z29" s="47"/>
      <c r="AA29" s="47"/>
    </row>
    <row r="30" spans="1:27" ht="9.9499999999999993" hidden="1" customHeight="1" x14ac:dyDescent="0.15">
      <c r="A30" s="144">
        <v>0</v>
      </c>
      <c r="B30" s="215">
        <v>0</v>
      </c>
      <c r="C30" s="140">
        <f t="shared" si="19"/>
        <v>0</v>
      </c>
      <c r="D30" s="41">
        <f t="shared" si="20"/>
        <v>0</v>
      </c>
      <c r="E30" s="274"/>
      <c r="F30" s="196">
        <f t="shared" si="16"/>
        <v>0</v>
      </c>
      <c r="G30" s="191">
        <f t="shared" si="13"/>
        <v>0</v>
      </c>
      <c r="H30" s="246">
        <f t="shared" si="2"/>
        <v>0</v>
      </c>
      <c r="I30" s="200">
        <f t="shared" si="17"/>
        <v>0</v>
      </c>
      <c r="J30" s="230">
        <f t="shared" si="22"/>
        <v>0</v>
      </c>
      <c r="K30" s="43">
        <f t="shared" si="21"/>
        <v>0</v>
      </c>
      <c r="L30" s="200"/>
      <c r="M30" s="196">
        <f t="shared" si="8"/>
        <v>0</v>
      </c>
      <c r="N30" s="36"/>
      <c r="O30" s="41">
        <f t="shared" si="3"/>
        <v>0</v>
      </c>
      <c r="P30" s="251">
        <f t="shared" si="4"/>
        <v>0</v>
      </c>
      <c r="Q30" s="230">
        <f t="shared" si="23"/>
        <v>0</v>
      </c>
      <c r="R30" s="41">
        <f t="shared" si="9"/>
        <v>0</v>
      </c>
      <c r="S30" s="200"/>
      <c r="T30" s="266"/>
      <c r="U30" s="210">
        <f t="shared" si="6"/>
        <v>0</v>
      </c>
      <c r="V30" s="33">
        <f t="shared" si="5"/>
        <v>0</v>
      </c>
      <c r="W30" s="36">
        <f t="shared" si="24"/>
        <v>0</v>
      </c>
      <c r="X30" s="230">
        <f t="shared" si="25"/>
        <v>0</v>
      </c>
      <c r="Y30" s="43">
        <f t="shared" si="25"/>
        <v>0</v>
      </c>
      <c r="Z30" s="47"/>
      <c r="AA30" s="47"/>
    </row>
    <row r="31" spans="1:27" ht="9.9499999999999993" customHeight="1" x14ac:dyDescent="0.15">
      <c r="A31" s="152" t="s">
        <v>262</v>
      </c>
      <c r="B31" s="212">
        <v>0.9</v>
      </c>
      <c r="C31" s="140">
        <f t="shared" si="19"/>
        <v>302.99347893129766</v>
      </c>
      <c r="D31" s="41">
        <f>E31+U31</f>
        <v>302993.47893129766</v>
      </c>
      <c r="E31" s="247">
        <f>139+59355.69</f>
        <v>59494.69</v>
      </c>
      <c r="F31" s="195">
        <f t="shared" si="16"/>
        <v>257.73500000000001</v>
      </c>
      <c r="G31" s="191">
        <f t="shared" si="13"/>
        <v>257735</v>
      </c>
      <c r="H31" s="246">
        <f t="shared" si="2"/>
        <v>475095</v>
      </c>
      <c r="I31" s="198">
        <f>L31-475095</f>
        <v>40375</v>
      </c>
      <c r="J31" s="231">
        <f t="shared" si="22"/>
        <v>515.47</v>
      </c>
      <c r="K31" s="41">
        <f t="shared" si="21"/>
        <v>515.47</v>
      </c>
      <c r="L31" s="198">
        <v>515470</v>
      </c>
      <c r="M31" s="195">
        <f t="shared" si="8"/>
        <v>0</v>
      </c>
      <c r="N31" s="33"/>
      <c r="O31" s="41">
        <f t="shared" si="3"/>
        <v>0</v>
      </c>
      <c r="P31" s="251">
        <f t="shared" si="4"/>
        <v>0</v>
      </c>
      <c r="Q31" s="231">
        <f t="shared" si="23"/>
        <v>0</v>
      </c>
      <c r="R31" s="41">
        <f t="shared" si="9"/>
        <v>0</v>
      </c>
      <c r="S31" s="198"/>
      <c r="T31" s="265"/>
      <c r="U31" s="210">
        <f t="shared" si="6"/>
        <v>243498.78893129769</v>
      </c>
      <c r="V31" s="33">
        <f t="shared" si="5"/>
        <v>302.99347893129766</v>
      </c>
      <c r="W31" s="33">
        <f t="shared" si="24"/>
        <v>257.73500000000001</v>
      </c>
      <c r="X31" s="231">
        <f t="shared" si="25"/>
        <v>515.47</v>
      </c>
      <c r="Y31" s="41">
        <f t="shared" si="25"/>
        <v>515.47</v>
      </c>
      <c r="Z31" s="47"/>
      <c r="AA31" s="47"/>
    </row>
    <row r="32" spans="1:27" ht="9.9499999999999993" customHeight="1" x14ac:dyDescent="0.15">
      <c r="A32" s="152" t="s">
        <v>263</v>
      </c>
      <c r="B32" s="212">
        <v>1</v>
      </c>
      <c r="C32" s="140">
        <f t="shared" si="19"/>
        <v>271.92936992366407</v>
      </c>
      <c r="D32" s="41">
        <f t="shared" si="20"/>
        <v>271929.36992366408</v>
      </c>
      <c r="E32" s="247">
        <v>1375.16</v>
      </c>
      <c r="F32" s="195">
        <f t="shared" si="16"/>
        <v>281.62900000000002</v>
      </c>
      <c r="G32" s="191">
        <f t="shared" si="13"/>
        <v>281629</v>
      </c>
      <c r="H32" s="246">
        <f t="shared" si="2"/>
        <v>527883</v>
      </c>
      <c r="I32" s="198">
        <f>L32-527883</f>
        <v>35375</v>
      </c>
      <c r="J32" s="231">
        <f t="shared" si="22"/>
        <v>563.25800000000004</v>
      </c>
      <c r="K32" s="41">
        <f t="shared" si="21"/>
        <v>563.25800000000004</v>
      </c>
      <c r="L32" s="198">
        <v>563258</v>
      </c>
      <c r="M32" s="195">
        <f t="shared" si="8"/>
        <v>0</v>
      </c>
      <c r="N32" s="33"/>
      <c r="O32" s="41">
        <f t="shared" si="3"/>
        <v>0</v>
      </c>
      <c r="P32" s="251">
        <f t="shared" si="4"/>
        <v>0</v>
      </c>
      <c r="Q32" s="231">
        <f t="shared" si="23"/>
        <v>0</v>
      </c>
      <c r="R32" s="41">
        <f t="shared" si="9"/>
        <v>0</v>
      </c>
      <c r="S32" s="198"/>
      <c r="T32" s="265"/>
      <c r="U32" s="210">
        <f t="shared" si="6"/>
        <v>270554.20992366411</v>
      </c>
      <c r="V32" s="33">
        <f t="shared" si="5"/>
        <v>271.92936992366407</v>
      </c>
      <c r="W32" s="33">
        <f t="shared" si="24"/>
        <v>281.62900000000002</v>
      </c>
      <c r="X32" s="231">
        <f t="shared" si="25"/>
        <v>563.25800000000004</v>
      </c>
      <c r="Y32" s="41">
        <f t="shared" si="25"/>
        <v>563.25800000000004</v>
      </c>
      <c r="Z32" s="47"/>
      <c r="AA32" s="47"/>
    </row>
    <row r="33" spans="1:38" ht="9.9499999999999993" customHeight="1" x14ac:dyDescent="0.15">
      <c r="A33" s="152" t="s">
        <v>264</v>
      </c>
      <c r="B33" s="212">
        <v>0.4</v>
      </c>
      <c r="C33" s="140">
        <f t="shared" si="19"/>
        <v>111.87468396946565</v>
      </c>
      <c r="D33" s="41">
        <f t="shared" si="20"/>
        <v>111874.68396946565</v>
      </c>
      <c r="E33" s="247">
        <v>3653</v>
      </c>
      <c r="F33" s="195">
        <f t="shared" si="16"/>
        <v>105.5765</v>
      </c>
      <c r="G33" s="191">
        <f t="shared" si="13"/>
        <v>105576.5</v>
      </c>
      <c r="H33" s="246">
        <f t="shared" si="2"/>
        <v>211153</v>
      </c>
      <c r="I33" s="198">
        <f>L33-211153</f>
        <v>0</v>
      </c>
      <c r="J33" s="231">
        <f t="shared" si="22"/>
        <v>211.15299999999999</v>
      </c>
      <c r="K33" s="41">
        <f t="shared" si="21"/>
        <v>211.15299999999999</v>
      </c>
      <c r="L33" s="198">
        <v>211153</v>
      </c>
      <c r="M33" s="195">
        <f t="shared" si="8"/>
        <v>0</v>
      </c>
      <c r="N33" s="33"/>
      <c r="O33" s="41">
        <f t="shared" si="3"/>
        <v>0</v>
      </c>
      <c r="P33" s="251">
        <f t="shared" si="4"/>
        <v>0</v>
      </c>
      <c r="Q33" s="231">
        <f t="shared" si="23"/>
        <v>0</v>
      </c>
      <c r="R33" s="41">
        <f t="shared" si="9"/>
        <v>0</v>
      </c>
      <c r="S33" s="198"/>
      <c r="T33" s="265"/>
      <c r="U33" s="210">
        <f t="shared" si="6"/>
        <v>108221.68396946565</v>
      </c>
      <c r="V33" s="33">
        <f t="shared" si="5"/>
        <v>111.87468396946565</v>
      </c>
      <c r="W33" s="33">
        <f t="shared" si="24"/>
        <v>105.5765</v>
      </c>
      <c r="X33" s="231">
        <f t="shared" si="25"/>
        <v>211.15299999999999</v>
      </c>
      <c r="Y33" s="41">
        <f t="shared" si="25"/>
        <v>211.15299999999999</v>
      </c>
      <c r="Z33" s="47"/>
      <c r="AA33" s="47"/>
    </row>
    <row r="34" spans="1:38" ht="9.9499999999999993" customHeight="1" x14ac:dyDescent="0.15">
      <c r="A34" s="152" t="s">
        <v>265</v>
      </c>
      <c r="B34" s="212">
        <v>0.3</v>
      </c>
      <c r="C34" s="140">
        <f t="shared" si="19"/>
        <v>82.237262977099235</v>
      </c>
      <c r="D34" s="41">
        <f t="shared" si="20"/>
        <v>82237.262977099235</v>
      </c>
      <c r="E34" s="247">
        <v>1071</v>
      </c>
      <c r="F34" s="195">
        <f t="shared" si="16"/>
        <v>94.182500000000005</v>
      </c>
      <c r="G34" s="191">
        <f t="shared" si="13"/>
        <v>94182.5</v>
      </c>
      <c r="H34" s="246">
        <f t="shared" si="2"/>
        <v>158365</v>
      </c>
      <c r="I34" s="198">
        <f>L34-158365</f>
        <v>30000</v>
      </c>
      <c r="J34" s="231">
        <f t="shared" si="22"/>
        <v>188.36500000000001</v>
      </c>
      <c r="K34" s="41">
        <f t="shared" si="21"/>
        <v>188.36500000000001</v>
      </c>
      <c r="L34" s="198">
        <v>188365</v>
      </c>
      <c r="M34" s="195">
        <f t="shared" si="8"/>
        <v>0</v>
      </c>
      <c r="N34" s="33"/>
      <c r="O34" s="41">
        <f t="shared" si="3"/>
        <v>0</v>
      </c>
      <c r="P34" s="251">
        <f t="shared" si="4"/>
        <v>0</v>
      </c>
      <c r="Q34" s="231">
        <f t="shared" si="23"/>
        <v>0</v>
      </c>
      <c r="R34" s="41">
        <f t="shared" si="9"/>
        <v>0</v>
      </c>
      <c r="S34" s="198"/>
      <c r="T34" s="265"/>
      <c r="U34" s="210">
        <f t="shared" si="6"/>
        <v>81166.262977099235</v>
      </c>
      <c r="V34" s="33">
        <f t="shared" si="5"/>
        <v>82.237262977099235</v>
      </c>
      <c r="W34" s="33">
        <f t="shared" si="24"/>
        <v>94.182500000000005</v>
      </c>
      <c r="X34" s="231">
        <f t="shared" si="25"/>
        <v>188.36500000000001</v>
      </c>
      <c r="Y34" s="41">
        <f t="shared" si="25"/>
        <v>188.36500000000001</v>
      </c>
      <c r="Z34" s="47"/>
      <c r="AA34" s="47"/>
    </row>
    <row r="35" spans="1:38" ht="9.9499999999999993" customHeight="1" x14ac:dyDescent="0.15">
      <c r="A35" s="152" t="s">
        <v>266</v>
      </c>
      <c r="B35" s="212">
        <v>0.1</v>
      </c>
      <c r="C35" s="140">
        <f t="shared" si="19"/>
        <v>48.735210992366412</v>
      </c>
      <c r="D35" s="41">
        <f t="shared" si="20"/>
        <v>48735.21099236641</v>
      </c>
      <c r="E35" s="247">
        <v>21679.79</v>
      </c>
      <c r="F35" s="195">
        <f t="shared" si="16"/>
        <v>26.393999999999998</v>
      </c>
      <c r="G35" s="191">
        <f t="shared" si="13"/>
        <v>26394</v>
      </c>
      <c r="H35" s="246">
        <f t="shared" si="2"/>
        <v>52788</v>
      </c>
      <c r="I35" s="200">
        <f>L35-52788</f>
        <v>0</v>
      </c>
      <c r="J35" s="231">
        <f t="shared" si="22"/>
        <v>52.787999999999997</v>
      </c>
      <c r="K35" s="41">
        <f t="shared" si="21"/>
        <v>52.787999999999997</v>
      </c>
      <c r="L35" s="198">
        <v>52788</v>
      </c>
      <c r="M35" s="195">
        <f t="shared" si="8"/>
        <v>0</v>
      </c>
      <c r="N35" s="33"/>
      <c r="O35" s="41">
        <f t="shared" si="3"/>
        <v>0</v>
      </c>
      <c r="P35" s="251">
        <f t="shared" si="4"/>
        <v>0</v>
      </c>
      <c r="Q35" s="231">
        <f t="shared" si="23"/>
        <v>0</v>
      </c>
      <c r="R35" s="41">
        <f t="shared" si="9"/>
        <v>0</v>
      </c>
      <c r="S35" s="198"/>
      <c r="T35" s="265"/>
      <c r="U35" s="210">
        <f t="shared" si="6"/>
        <v>27055.420992366413</v>
      </c>
      <c r="V35" s="33">
        <f t="shared" si="5"/>
        <v>48.735210992366412</v>
      </c>
      <c r="W35" s="33">
        <f t="shared" si="24"/>
        <v>26.393999999999998</v>
      </c>
      <c r="X35" s="231">
        <f t="shared" si="25"/>
        <v>52.787999999999997</v>
      </c>
      <c r="Y35" s="41">
        <f t="shared" si="25"/>
        <v>52.787999999999997</v>
      </c>
      <c r="Z35" s="47"/>
      <c r="AA35" s="47"/>
    </row>
    <row r="36" spans="1:38" ht="9.9499999999999993" customHeight="1" x14ac:dyDescent="0.15">
      <c r="A36" s="152" t="s">
        <v>267</v>
      </c>
      <c r="B36" s="212">
        <v>0.5</v>
      </c>
      <c r="C36" s="140">
        <f t="shared" si="19"/>
        <v>135.38460496183205</v>
      </c>
      <c r="D36" s="41">
        <f t="shared" si="20"/>
        <v>135384.60496183205</v>
      </c>
      <c r="E36" s="247">
        <v>107.5</v>
      </c>
      <c r="F36" s="195">
        <f t="shared" si="16"/>
        <v>136.97049999999999</v>
      </c>
      <c r="G36" s="191">
        <f t="shared" si="13"/>
        <v>136970.5</v>
      </c>
      <c r="H36" s="246">
        <f t="shared" si="2"/>
        <v>263941</v>
      </c>
      <c r="I36" s="198">
        <f>L36-263941</f>
        <v>10000</v>
      </c>
      <c r="J36" s="231">
        <f t="shared" si="22"/>
        <v>273.94099999999997</v>
      </c>
      <c r="K36" s="41">
        <f t="shared" si="21"/>
        <v>273.94099999999997</v>
      </c>
      <c r="L36" s="198">
        <v>273941</v>
      </c>
      <c r="M36" s="195">
        <f t="shared" si="8"/>
        <v>0</v>
      </c>
      <c r="N36" s="33"/>
      <c r="O36" s="41">
        <f t="shared" si="3"/>
        <v>0</v>
      </c>
      <c r="P36" s="251">
        <f t="shared" si="4"/>
        <v>0</v>
      </c>
      <c r="Q36" s="231">
        <f t="shared" si="23"/>
        <v>0</v>
      </c>
      <c r="R36" s="41">
        <f t="shared" si="9"/>
        <v>0</v>
      </c>
      <c r="S36" s="198"/>
      <c r="T36" s="265"/>
      <c r="U36" s="210">
        <f t="shared" si="6"/>
        <v>135277.10496183205</v>
      </c>
      <c r="V36" s="33">
        <f t="shared" si="5"/>
        <v>135.38460496183205</v>
      </c>
      <c r="W36" s="33">
        <f t="shared" si="24"/>
        <v>136.97049999999999</v>
      </c>
      <c r="X36" s="231">
        <f t="shared" si="25"/>
        <v>273.94099999999997</v>
      </c>
      <c r="Y36" s="41">
        <f t="shared" si="25"/>
        <v>273.94099999999997</v>
      </c>
      <c r="Z36" s="47"/>
      <c r="AA36" s="47"/>
    </row>
    <row r="37" spans="1:38" s="42" customFormat="1" ht="9.9499999999999993" customHeight="1" x14ac:dyDescent="0.15">
      <c r="A37" s="152" t="s">
        <v>268</v>
      </c>
      <c r="B37" s="212">
        <v>1.41</v>
      </c>
      <c r="C37" s="140">
        <f t="shared" si="19"/>
        <v>509.45469599236634</v>
      </c>
      <c r="D37" s="41">
        <f t="shared" si="20"/>
        <v>509454.69599236635</v>
      </c>
      <c r="E37" s="247">
        <v>127973.26</v>
      </c>
      <c r="F37" s="195">
        <f t="shared" si="16"/>
        <v>927.53250000000003</v>
      </c>
      <c r="G37" s="191">
        <f t="shared" si="13"/>
        <v>927532.5</v>
      </c>
      <c r="H37" s="246">
        <f t="shared" si="2"/>
        <v>744315</v>
      </c>
      <c r="I37" s="198">
        <f>L37-744315</f>
        <v>1110750</v>
      </c>
      <c r="J37" s="231">
        <f t="shared" si="22"/>
        <v>1855.0650000000001</v>
      </c>
      <c r="K37" s="41">
        <f t="shared" si="21"/>
        <v>1855.0650000000001</v>
      </c>
      <c r="L37" s="198">
        <v>1855065</v>
      </c>
      <c r="M37" s="195">
        <f t="shared" si="8"/>
        <v>0</v>
      </c>
      <c r="N37" s="33"/>
      <c r="O37" s="41">
        <f t="shared" si="3"/>
        <v>-262.5</v>
      </c>
      <c r="P37" s="251">
        <f t="shared" si="4"/>
        <v>262500</v>
      </c>
      <c r="Q37" s="231">
        <f t="shared" si="23"/>
        <v>-525</v>
      </c>
      <c r="R37" s="41">
        <f t="shared" si="9"/>
        <v>-525</v>
      </c>
      <c r="S37" s="198">
        <v>525000</v>
      </c>
      <c r="T37" s="265"/>
      <c r="U37" s="210">
        <f t="shared" si="6"/>
        <v>381481.43599236634</v>
      </c>
      <c r="V37" s="33">
        <f t="shared" si="5"/>
        <v>509.45469599236634</v>
      </c>
      <c r="W37" s="33">
        <f t="shared" si="24"/>
        <v>665.03250000000003</v>
      </c>
      <c r="X37" s="231">
        <f t="shared" si="25"/>
        <v>1330.0650000000001</v>
      </c>
      <c r="Y37" s="41">
        <f t="shared" si="25"/>
        <v>1330.0650000000001</v>
      </c>
      <c r="Z37" s="47"/>
      <c r="AA37" s="47"/>
    </row>
    <row r="38" spans="1:38" ht="9" hidden="1" customHeight="1" x14ac:dyDescent="0.15">
      <c r="A38" s="147"/>
      <c r="B38" s="212"/>
      <c r="C38" s="140">
        <f t="shared" si="19"/>
        <v>0</v>
      </c>
      <c r="D38" s="41">
        <f t="shared" si="20"/>
        <v>0</v>
      </c>
      <c r="E38" s="247"/>
      <c r="F38" s="195">
        <f t="shared" si="16"/>
        <v>0</v>
      </c>
      <c r="G38" s="191">
        <f t="shared" si="13"/>
        <v>0</v>
      </c>
      <c r="H38" s="246">
        <f t="shared" si="2"/>
        <v>0</v>
      </c>
      <c r="I38" s="200">
        <f t="shared" si="17"/>
        <v>0</v>
      </c>
      <c r="J38" s="230">
        <f t="shared" si="22"/>
        <v>0</v>
      </c>
      <c r="K38" s="41">
        <f t="shared" si="21"/>
        <v>0</v>
      </c>
      <c r="L38" s="198"/>
      <c r="M38" s="195">
        <f t="shared" si="8"/>
        <v>0</v>
      </c>
      <c r="N38" s="36"/>
      <c r="O38" s="41">
        <f t="shared" si="3"/>
        <v>0</v>
      </c>
      <c r="P38" s="251">
        <f t="shared" si="4"/>
        <v>0</v>
      </c>
      <c r="Q38" s="231">
        <f t="shared" si="23"/>
        <v>0</v>
      </c>
      <c r="R38" s="41">
        <f t="shared" si="9"/>
        <v>0</v>
      </c>
      <c r="S38" s="198"/>
      <c r="T38" s="265"/>
      <c r="U38" s="210">
        <f t="shared" si="6"/>
        <v>0</v>
      </c>
      <c r="V38" s="33">
        <f t="shared" si="5"/>
        <v>0</v>
      </c>
      <c r="W38" s="33">
        <f t="shared" si="24"/>
        <v>0</v>
      </c>
      <c r="X38" s="231">
        <f t="shared" si="25"/>
        <v>0</v>
      </c>
      <c r="Y38" s="41">
        <f t="shared" si="25"/>
        <v>0</v>
      </c>
      <c r="Z38" s="47"/>
      <c r="AA38" s="47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</row>
    <row r="39" spans="1:38" ht="9.75" customHeight="1" x14ac:dyDescent="0.15">
      <c r="A39" s="147" t="s">
        <v>269</v>
      </c>
      <c r="B39" s="212">
        <v>0.5</v>
      </c>
      <c r="C39" s="140">
        <f t="shared" si="19"/>
        <v>136.27710496183207</v>
      </c>
      <c r="D39" s="41">
        <f t="shared" si="20"/>
        <v>136277.10496183205</v>
      </c>
      <c r="E39" s="247">
        <v>1000</v>
      </c>
      <c r="F39" s="195">
        <f t="shared" si="16"/>
        <v>136.97049999999999</v>
      </c>
      <c r="G39" s="191">
        <f t="shared" si="13"/>
        <v>136970.5</v>
      </c>
      <c r="H39" s="246">
        <f t="shared" si="2"/>
        <v>263941</v>
      </c>
      <c r="I39" s="198">
        <f>L39-263941</f>
        <v>10000</v>
      </c>
      <c r="J39" s="231">
        <f t="shared" si="22"/>
        <v>273.94099999999997</v>
      </c>
      <c r="K39" s="41">
        <f t="shared" si="21"/>
        <v>273.94099999999997</v>
      </c>
      <c r="L39" s="198">
        <v>273941</v>
      </c>
      <c r="M39" s="195">
        <f t="shared" si="8"/>
        <v>0</v>
      </c>
      <c r="N39" s="36"/>
      <c r="O39" s="41">
        <f t="shared" si="3"/>
        <v>0</v>
      </c>
      <c r="P39" s="251">
        <f t="shared" si="4"/>
        <v>0</v>
      </c>
      <c r="Q39" s="231">
        <f t="shared" si="23"/>
        <v>0</v>
      </c>
      <c r="R39" s="41">
        <f t="shared" si="9"/>
        <v>0</v>
      </c>
      <c r="S39" s="198"/>
      <c r="T39" s="265"/>
      <c r="U39" s="210">
        <f t="shared" si="6"/>
        <v>135277.10496183205</v>
      </c>
      <c r="V39" s="33">
        <f t="shared" si="5"/>
        <v>136.27710496183207</v>
      </c>
      <c r="W39" s="33">
        <f t="shared" si="24"/>
        <v>136.97049999999999</v>
      </c>
      <c r="X39" s="231">
        <f t="shared" si="25"/>
        <v>273.94099999999997</v>
      </c>
      <c r="Y39" s="41">
        <f t="shared" si="25"/>
        <v>273.94099999999997</v>
      </c>
      <c r="Z39" s="47"/>
      <c r="AA39" s="47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</row>
    <row r="40" spans="1:38" ht="9" customHeight="1" x14ac:dyDescent="0.15">
      <c r="A40" s="147" t="s">
        <v>270</v>
      </c>
      <c r="B40" s="212">
        <v>0.5</v>
      </c>
      <c r="C40" s="140">
        <f t="shared" si="19"/>
        <v>159.89956496183206</v>
      </c>
      <c r="D40" s="41">
        <f t="shared" si="20"/>
        <v>159899.56496183205</v>
      </c>
      <c r="E40" s="247">
        <v>24622.46</v>
      </c>
      <c r="F40" s="195">
        <f t="shared" si="16"/>
        <v>144.47049999999999</v>
      </c>
      <c r="G40" s="191">
        <f t="shared" si="13"/>
        <v>144470.5</v>
      </c>
      <c r="H40" s="246">
        <f t="shared" si="2"/>
        <v>263941</v>
      </c>
      <c r="I40" s="198">
        <f>L40-263941</f>
        <v>25000</v>
      </c>
      <c r="J40" s="231">
        <f t="shared" si="22"/>
        <v>288.94099999999997</v>
      </c>
      <c r="K40" s="41">
        <f t="shared" si="21"/>
        <v>288.94099999999997</v>
      </c>
      <c r="L40" s="198">
        <v>288941</v>
      </c>
      <c r="M40" s="195">
        <f t="shared" si="8"/>
        <v>0</v>
      </c>
      <c r="N40" s="36"/>
      <c r="O40" s="41">
        <f>P40/1000*-1</f>
        <v>0</v>
      </c>
      <c r="P40" s="251">
        <f t="shared" si="4"/>
        <v>0</v>
      </c>
      <c r="Q40" s="231">
        <f t="shared" si="23"/>
        <v>0</v>
      </c>
      <c r="R40" s="41">
        <f t="shared" si="9"/>
        <v>0</v>
      </c>
      <c r="S40" s="198"/>
      <c r="T40" s="265"/>
      <c r="U40" s="210">
        <f t="shared" si="6"/>
        <v>135277.10496183205</v>
      </c>
      <c r="V40" s="33">
        <f t="shared" si="5"/>
        <v>159.89956496183206</v>
      </c>
      <c r="W40" s="33">
        <f t="shared" si="24"/>
        <v>144.47049999999999</v>
      </c>
      <c r="X40" s="231">
        <f t="shared" si="25"/>
        <v>288.94099999999997</v>
      </c>
      <c r="Y40" s="41">
        <f t="shared" si="25"/>
        <v>288.94099999999997</v>
      </c>
      <c r="Z40" s="47"/>
      <c r="AA40" s="47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</row>
    <row r="41" spans="1:38" s="179" customFormat="1" x14ac:dyDescent="0.15">
      <c r="A41" s="168" t="s">
        <v>48</v>
      </c>
      <c r="B41" s="216">
        <f>B42+B53+B59+B65+B73+B77+B98+B82</f>
        <v>18.46</v>
      </c>
      <c r="C41" s="170">
        <f t="shared" si="19"/>
        <v>7582.1414551908401</v>
      </c>
      <c r="D41" s="41">
        <f t="shared" si="20"/>
        <v>7582141.4551908402</v>
      </c>
      <c r="E41" s="195">
        <f>E42+E53+E59+E65+E73+E77+E98+E82</f>
        <v>2587710.7400000002</v>
      </c>
      <c r="F41" s="191">
        <f t="shared" si="16"/>
        <v>6948.8590000000004</v>
      </c>
      <c r="G41" s="191">
        <f t="shared" si="13"/>
        <v>6948859</v>
      </c>
      <c r="H41" s="256">
        <f t="shared" si="2"/>
        <v>9744718</v>
      </c>
      <c r="I41" s="198">
        <f>I42+I53+I59+I65+I73+I77+I82+I98</f>
        <v>4153000</v>
      </c>
      <c r="J41" s="191">
        <f>J42+J53+J59+J65+J73+J77+J82+J98</f>
        <v>13897.718000000003</v>
      </c>
      <c r="K41" s="191">
        <f t="shared" si="21"/>
        <v>13897.718000000001</v>
      </c>
      <c r="L41" s="191">
        <f>L42+L53+L59+L65+L73+L77+L98+L82</f>
        <v>13897718</v>
      </c>
      <c r="M41" s="191">
        <f t="shared" si="8"/>
        <v>-1246.7648999999999</v>
      </c>
      <c r="N41" s="171">
        <f>N42+N50+N53+N59+N65+N73+N77+N98+N82</f>
        <v>0</v>
      </c>
      <c r="O41" s="171">
        <f t="shared" ref="O41:O110" si="26">P41/1000*-1</f>
        <v>-1604.5</v>
      </c>
      <c r="P41" s="251">
        <f t="shared" si="4"/>
        <v>1604500</v>
      </c>
      <c r="Q41" s="191">
        <f>Q42+Q53+Q59+Q65+Q77+Q82+Q98</f>
        <v>-3209</v>
      </c>
      <c r="R41" s="171">
        <f t="shared" si="9"/>
        <v>-3209</v>
      </c>
      <c r="S41" s="191">
        <f>S42+S53+S59+S65+S73+S77+S98+S82</f>
        <v>3209000</v>
      </c>
      <c r="T41" s="201">
        <f>T42+T53+T59+T65+T73+T77+T82+T98</f>
        <v>1246764.8999999999</v>
      </c>
      <c r="U41" s="210">
        <f t="shared" si="6"/>
        <v>4994430.71519084</v>
      </c>
      <c r="V41" s="173">
        <f t="shared" si="5"/>
        <v>6335.37655519084</v>
      </c>
      <c r="W41" s="173">
        <f t="shared" si="24"/>
        <v>5344.3590000000004</v>
      </c>
      <c r="X41" s="198">
        <f t="shared" si="25"/>
        <v>10688.718000000003</v>
      </c>
      <c r="Y41" s="171">
        <f t="shared" si="25"/>
        <v>10688.718000000001</v>
      </c>
      <c r="Z41" s="174"/>
      <c r="AA41" s="174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s="117" customFormat="1" ht="9.9499999999999993" customHeight="1" x14ac:dyDescent="0.15">
      <c r="A42" s="142" t="s">
        <v>273</v>
      </c>
      <c r="B42" s="212">
        <f>SUM(B43:B50)</f>
        <v>3.1</v>
      </c>
      <c r="C42" s="140">
        <f>D42/1000</f>
        <v>1319.9033307633586</v>
      </c>
      <c r="D42" s="41">
        <f t="shared" si="20"/>
        <v>1319903.3307633586</v>
      </c>
      <c r="E42" s="247">
        <f>SUM(E43:E50)</f>
        <v>481185.27999999997</v>
      </c>
      <c r="F42" s="195">
        <f t="shared" si="16"/>
        <v>990.71849999999995</v>
      </c>
      <c r="G42" s="191">
        <f t="shared" si="13"/>
        <v>990718.5</v>
      </c>
      <c r="H42" s="246">
        <f t="shared" si="2"/>
        <v>1636437</v>
      </c>
      <c r="I42" s="198">
        <f>SUM(I43:I50)</f>
        <v>345000</v>
      </c>
      <c r="J42" s="231">
        <f>SUM(J43:J50)</f>
        <v>1981.4370000000001</v>
      </c>
      <c r="K42" s="41">
        <f t="shared" si="21"/>
        <v>1981.4369999999999</v>
      </c>
      <c r="L42" s="198">
        <f>SUM(L43:L50)</f>
        <v>1981437</v>
      </c>
      <c r="M42" s="195">
        <f t="shared" si="8"/>
        <v>-363.42500000000001</v>
      </c>
      <c r="N42" s="33"/>
      <c r="O42" s="41">
        <f t="shared" si="26"/>
        <v>0</v>
      </c>
      <c r="P42" s="251">
        <f t="shared" si="4"/>
        <v>0</v>
      </c>
      <c r="Q42" s="231">
        <f>SUM(Q43:Q50)</f>
        <v>0</v>
      </c>
      <c r="R42" s="41">
        <f t="shared" si="9"/>
        <v>0</v>
      </c>
      <c r="S42" s="198">
        <f>SUM(S43:S52)</f>
        <v>0</v>
      </c>
      <c r="T42" s="265">
        <f>SUM(T43:T50)</f>
        <v>363425</v>
      </c>
      <c r="U42" s="210">
        <f>SUM(U43:U50)</f>
        <v>838718.05076335871</v>
      </c>
      <c r="V42" s="33">
        <f t="shared" si="5"/>
        <v>956.4783307633586</v>
      </c>
      <c r="W42" s="33">
        <f t="shared" si="24"/>
        <v>990.71849999999995</v>
      </c>
      <c r="X42" s="231">
        <f t="shared" si="25"/>
        <v>1981.4370000000001</v>
      </c>
      <c r="Y42" s="41">
        <f t="shared" si="25"/>
        <v>1981.4369999999999</v>
      </c>
      <c r="Z42" s="47"/>
      <c r="AA42" s="47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</row>
    <row r="43" spans="1:38" s="117" customFormat="1" ht="9.9499999999999993" customHeight="1" x14ac:dyDescent="0.15">
      <c r="A43" s="144" t="s">
        <v>271</v>
      </c>
      <c r="B43" s="215">
        <v>1.75</v>
      </c>
      <c r="C43" s="145">
        <f t="shared" ref="C43:C56" si="27">D43/1000</f>
        <v>488.07423736641221</v>
      </c>
      <c r="D43" s="191">
        <f>E43+U43</f>
        <v>488074.23736641218</v>
      </c>
      <c r="E43" s="274">
        <v>14604.37</v>
      </c>
      <c r="F43" s="196">
        <f t="shared" si="16"/>
        <v>479.39749999999998</v>
      </c>
      <c r="G43" s="191">
        <f t="shared" si="13"/>
        <v>479397.5</v>
      </c>
      <c r="H43" s="246">
        <f t="shared" si="2"/>
        <v>923795</v>
      </c>
      <c r="I43" s="200">
        <f>L43-923795</f>
        <v>35000</v>
      </c>
      <c r="J43" s="230">
        <f>K43</f>
        <v>958.79499999999996</v>
      </c>
      <c r="K43" s="43">
        <f t="shared" si="21"/>
        <v>958.79499999999996</v>
      </c>
      <c r="L43" s="200">
        <v>958795</v>
      </c>
      <c r="M43" s="196">
        <f t="shared" si="8"/>
        <v>0</v>
      </c>
      <c r="N43" s="36"/>
      <c r="O43" s="43">
        <f t="shared" si="26"/>
        <v>0</v>
      </c>
      <c r="P43" s="251">
        <f t="shared" si="4"/>
        <v>0</v>
      </c>
      <c r="Q43" s="230">
        <f>R43</f>
        <v>0</v>
      </c>
      <c r="R43" s="43">
        <f t="shared" si="9"/>
        <v>0</v>
      </c>
      <c r="S43" s="200"/>
      <c r="T43" s="266"/>
      <c r="U43" s="227">
        <f t="shared" si="6"/>
        <v>473469.86736641219</v>
      </c>
      <c r="V43" s="36">
        <f t="shared" si="5"/>
        <v>488.07423736641221</v>
      </c>
      <c r="W43" s="36">
        <f t="shared" si="24"/>
        <v>479.39749999999998</v>
      </c>
      <c r="X43" s="230">
        <f t="shared" si="25"/>
        <v>958.79499999999996</v>
      </c>
      <c r="Y43" s="43">
        <f t="shared" si="25"/>
        <v>958.79499999999996</v>
      </c>
      <c r="Z43" s="47"/>
      <c r="AA43" s="47"/>
    </row>
    <row r="44" spans="1:38" s="117" customFormat="1" ht="9.9499999999999993" customHeight="1" x14ac:dyDescent="0.15">
      <c r="A44" s="144" t="s">
        <v>341</v>
      </c>
      <c r="B44" s="215">
        <v>0.25</v>
      </c>
      <c r="C44" s="145">
        <f t="shared" si="27"/>
        <v>376.879282480916</v>
      </c>
      <c r="D44" s="191">
        <f t="shared" si="20"/>
        <v>376879.28248091601</v>
      </c>
      <c r="E44" s="274">
        <f>252021.79+57218.94</f>
        <v>309240.73</v>
      </c>
      <c r="F44" s="196">
        <f t="shared" si="16"/>
        <v>100.9855</v>
      </c>
      <c r="G44" s="191">
        <f t="shared" si="13"/>
        <v>100985.5</v>
      </c>
      <c r="H44" s="246">
        <f t="shared" si="2"/>
        <v>131971</v>
      </c>
      <c r="I44" s="200">
        <f>L44-131971</f>
        <v>70000</v>
      </c>
      <c r="J44" s="230">
        <f t="shared" ref="J44:J52" si="28">K44</f>
        <v>201.971</v>
      </c>
      <c r="K44" s="43">
        <f t="shared" si="21"/>
        <v>201.971</v>
      </c>
      <c r="L44" s="200">
        <v>201971</v>
      </c>
      <c r="M44" s="196">
        <f t="shared" si="8"/>
        <v>-279.22500000000002</v>
      </c>
      <c r="N44" s="36"/>
      <c r="O44" s="43">
        <f t="shared" si="26"/>
        <v>0</v>
      </c>
      <c r="P44" s="251">
        <f t="shared" si="4"/>
        <v>0</v>
      </c>
      <c r="Q44" s="230">
        <f t="shared" ref="Q44:Q50" si="29">R44</f>
        <v>0</v>
      </c>
      <c r="R44" s="43">
        <f t="shared" si="9"/>
        <v>0</v>
      </c>
      <c r="S44" s="200"/>
      <c r="T44" s="266">
        <f>164225+115000</f>
        <v>279225</v>
      </c>
      <c r="U44" s="227">
        <f t="shared" si="6"/>
        <v>67638.552480916027</v>
      </c>
      <c r="V44" s="36">
        <f t="shared" si="5"/>
        <v>97.654282480915981</v>
      </c>
      <c r="W44" s="36">
        <f t="shared" si="24"/>
        <v>100.9855</v>
      </c>
      <c r="X44" s="230">
        <f t="shared" ref="X44:Y83" si="30">J44+Q44</f>
        <v>201.971</v>
      </c>
      <c r="Y44" s="43">
        <f t="shared" si="30"/>
        <v>201.971</v>
      </c>
      <c r="Z44" s="47"/>
      <c r="AA44" s="47"/>
    </row>
    <row r="45" spans="1:38" s="117" customFormat="1" ht="9.9499999999999993" hidden="1" customHeight="1" x14ac:dyDescent="0.15">
      <c r="A45" s="144">
        <v>0</v>
      </c>
      <c r="B45" s="215">
        <v>0</v>
      </c>
      <c r="C45" s="145">
        <f t="shared" si="27"/>
        <v>0</v>
      </c>
      <c r="D45" s="191">
        <f t="shared" si="20"/>
        <v>0</v>
      </c>
      <c r="E45" s="274"/>
      <c r="F45" s="196">
        <f t="shared" si="16"/>
        <v>0</v>
      </c>
      <c r="G45" s="191">
        <f t="shared" si="13"/>
        <v>0</v>
      </c>
      <c r="H45" s="246">
        <f t="shared" si="2"/>
        <v>0</v>
      </c>
      <c r="I45" s="200">
        <f t="shared" si="17"/>
        <v>0</v>
      </c>
      <c r="J45" s="230">
        <f t="shared" si="28"/>
        <v>0</v>
      </c>
      <c r="K45" s="43">
        <f t="shared" si="21"/>
        <v>0</v>
      </c>
      <c r="L45" s="200"/>
      <c r="M45" s="196">
        <f t="shared" si="8"/>
        <v>0</v>
      </c>
      <c r="N45" s="36"/>
      <c r="O45" s="43">
        <f t="shared" si="26"/>
        <v>0</v>
      </c>
      <c r="P45" s="251">
        <f t="shared" si="4"/>
        <v>0</v>
      </c>
      <c r="Q45" s="230">
        <f t="shared" si="29"/>
        <v>0</v>
      </c>
      <c r="R45" s="43">
        <f t="shared" si="9"/>
        <v>0</v>
      </c>
      <c r="S45" s="200"/>
      <c r="T45" s="266"/>
      <c r="U45" s="227">
        <f t="shared" si="6"/>
        <v>0</v>
      </c>
      <c r="V45" s="36">
        <f t="shared" si="5"/>
        <v>0</v>
      </c>
      <c r="W45" s="36">
        <f t="shared" si="24"/>
        <v>0</v>
      </c>
      <c r="X45" s="230">
        <f t="shared" si="30"/>
        <v>0</v>
      </c>
      <c r="Y45" s="43">
        <f t="shared" si="30"/>
        <v>0</v>
      </c>
      <c r="Z45" s="47"/>
      <c r="AA45" s="47"/>
    </row>
    <row r="46" spans="1:38" s="117" customFormat="1" ht="9.9499999999999993" customHeight="1" x14ac:dyDescent="0.15">
      <c r="A46" s="144" t="s">
        <v>343</v>
      </c>
      <c r="B46" s="215">
        <v>0.5</v>
      </c>
      <c r="C46" s="145">
        <f t="shared" si="27"/>
        <v>189.49728496183204</v>
      </c>
      <c r="D46" s="191">
        <f t="shared" si="20"/>
        <v>189497.28496183205</v>
      </c>
      <c r="E46" s="274">
        <v>54220.18</v>
      </c>
      <c r="F46" s="196">
        <f t="shared" si="16"/>
        <v>161.97049999999999</v>
      </c>
      <c r="G46" s="191">
        <f t="shared" si="13"/>
        <v>161970.5</v>
      </c>
      <c r="H46" s="246">
        <f t="shared" si="2"/>
        <v>263941</v>
      </c>
      <c r="I46" s="200">
        <f>L46-263941</f>
        <v>60000</v>
      </c>
      <c r="J46" s="230">
        <f t="shared" si="28"/>
        <v>323.94099999999997</v>
      </c>
      <c r="K46" s="43">
        <f t="shared" si="21"/>
        <v>323.94099999999997</v>
      </c>
      <c r="L46" s="200">
        <v>323941</v>
      </c>
      <c r="M46" s="196">
        <f t="shared" si="8"/>
        <v>0</v>
      </c>
      <c r="N46" s="36"/>
      <c r="O46" s="43">
        <f t="shared" si="26"/>
        <v>0</v>
      </c>
      <c r="P46" s="251">
        <f t="shared" si="4"/>
        <v>0</v>
      </c>
      <c r="Q46" s="230">
        <f t="shared" si="29"/>
        <v>0</v>
      </c>
      <c r="R46" s="43">
        <f t="shared" si="9"/>
        <v>0</v>
      </c>
      <c r="S46" s="200"/>
      <c r="T46" s="266"/>
      <c r="U46" s="227">
        <f t="shared" si="6"/>
        <v>135277.10496183205</v>
      </c>
      <c r="V46" s="36">
        <f t="shared" si="5"/>
        <v>189.49728496183204</v>
      </c>
      <c r="W46" s="36">
        <f t="shared" si="24"/>
        <v>161.97049999999999</v>
      </c>
      <c r="X46" s="230">
        <f t="shared" si="30"/>
        <v>323.94099999999997</v>
      </c>
      <c r="Y46" s="43">
        <f t="shared" si="30"/>
        <v>323.94099999999997</v>
      </c>
      <c r="Z46" s="47"/>
      <c r="AA46" s="47"/>
    </row>
    <row r="47" spans="1:38" s="117" customFormat="1" ht="9.9499999999999993" hidden="1" customHeight="1" x14ac:dyDescent="0.15">
      <c r="A47" s="144">
        <v>0</v>
      </c>
      <c r="B47" s="215">
        <v>0</v>
      </c>
      <c r="C47" s="145">
        <f t="shared" si="27"/>
        <v>0</v>
      </c>
      <c r="D47" s="191">
        <f t="shared" si="20"/>
        <v>0</v>
      </c>
      <c r="E47" s="274"/>
      <c r="F47" s="196">
        <f t="shared" si="16"/>
        <v>0</v>
      </c>
      <c r="G47" s="191">
        <f t="shared" si="13"/>
        <v>0</v>
      </c>
      <c r="H47" s="246">
        <f t="shared" si="2"/>
        <v>0</v>
      </c>
      <c r="I47" s="200">
        <f t="shared" si="17"/>
        <v>0</v>
      </c>
      <c r="J47" s="230">
        <f t="shared" si="28"/>
        <v>0</v>
      </c>
      <c r="K47" s="43">
        <f t="shared" si="21"/>
        <v>0</v>
      </c>
      <c r="L47" s="200"/>
      <c r="M47" s="196">
        <f t="shared" si="8"/>
        <v>0</v>
      </c>
      <c r="N47" s="36"/>
      <c r="O47" s="43"/>
      <c r="P47" s="251">
        <f t="shared" si="4"/>
        <v>0</v>
      </c>
      <c r="Q47" s="230">
        <f t="shared" si="29"/>
        <v>0</v>
      </c>
      <c r="R47" s="43">
        <f t="shared" si="9"/>
        <v>0</v>
      </c>
      <c r="S47" s="200"/>
      <c r="T47" s="266"/>
      <c r="U47" s="210">
        <f t="shared" si="6"/>
        <v>0</v>
      </c>
      <c r="V47" s="36">
        <f t="shared" si="5"/>
        <v>0</v>
      </c>
      <c r="W47" s="36">
        <f t="shared" si="24"/>
        <v>0</v>
      </c>
      <c r="X47" s="230">
        <f t="shared" si="30"/>
        <v>0</v>
      </c>
      <c r="Y47" s="43">
        <f t="shared" si="30"/>
        <v>0</v>
      </c>
      <c r="Z47" s="47"/>
      <c r="AA47" s="47"/>
    </row>
    <row r="48" spans="1:38" s="117" customFormat="1" ht="8.25" hidden="1" customHeight="1" x14ac:dyDescent="0.15">
      <c r="A48" s="144">
        <v>0</v>
      </c>
      <c r="B48" s="215">
        <v>0</v>
      </c>
      <c r="C48" s="145">
        <f t="shared" si="27"/>
        <v>0</v>
      </c>
      <c r="D48" s="191">
        <f t="shared" si="20"/>
        <v>0</v>
      </c>
      <c r="E48" s="274"/>
      <c r="F48" s="196">
        <f t="shared" si="16"/>
        <v>0</v>
      </c>
      <c r="G48" s="191">
        <f t="shared" si="13"/>
        <v>0</v>
      </c>
      <c r="H48" s="246">
        <f t="shared" si="2"/>
        <v>0</v>
      </c>
      <c r="I48" s="200">
        <f t="shared" si="17"/>
        <v>0</v>
      </c>
      <c r="J48" s="230">
        <f t="shared" si="28"/>
        <v>0</v>
      </c>
      <c r="K48" s="43">
        <f t="shared" si="21"/>
        <v>0</v>
      </c>
      <c r="L48" s="200"/>
      <c r="M48" s="196">
        <f t="shared" si="8"/>
        <v>0</v>
      </c>
      <c r="N48" s="36"/>
      <c r="O48" s="43">
        <f t="shared" si="26"/>
        <v>0</v>
      </c>
      <c r="P48" s="251">
        <f t="shared" si="4"/>
        <v>0</v>
      </c>
      <c r="Q48" s="230">
        <f t="shared" si="29"/>
        <v>0</v>
      </c>
      <c r="R48" s="43">
        <f t="shared" si="9"/>
        <v>0</v>
      </c>
      <c r="S48" s="200"/>
      <c r="T48" s="266"/>
      <c r="U48" s="210">
        <f t="shared" si="6"/>
        <v>0</v>
      </c>
      <c r="V48" s="36">
        <f t="shared" si="5"/>
        <v>0</v>
      </c>
      <c r="W48" s="36">
        <f t="shared" si="24"/>
        <v>0</v>
      </c>
      <c r="X48" s="230">
        <f t="shared" si="30"/>
        <v>0</v>
      </c>
      <c r="Y48" s="43">
        <f t="shared" si="30"/>
        <v>0</v>
      </c>
      <c r="Z48" s="47"/>
      <c r="AA48" s="47"/>
    </row>
    <row r="49" spans="1:27" s="117" customFormat="1" ht="8.25" hidden="1" customHeight="1" x14ac:dyDescent="0.15">
      <c r="A49" s="144">
        <v>0</v>
      </c>
      <c r="B49" s="215">
        <v>0</v>
      </c>
      <c r="C49" s="145">
        <f t="shared" si="27"/>
        <v>0</v>
      </c>
      <c r="D49" s="191">
        <f t="shared" si="20"/>
        <v>0</v>
      </c>
      <c r="E49" s="274"/>
      <c r="F49" s="196"/>
      <c r="G49" s="191">
        <f t="shared" si="13"/>
        <v>0</v>
      </c>
      <c r="H49" s="246">
        <f t="shared" si="2"/>
        <v>0</v>
      </c>
      <c r="I49" s="200">
        <f t="shared" si="17"/>
        <v>0</v>
      </c>
      <c r="J49" s="230">
        <f t="shared" si="28"/>
        <v>0</v>
      </c>
      <c r="K49" s="43"/>
      <c r="L49" s="200"/>
      <c r="M49" s="196"/>
      <c r="N49" s="36"/>
      <c r="O49" s="43"/>
      <c r="P49" s="251">
        <f t="shared" si="4"/>
        <v>0</v>
      </c>
      <c r="Q49" s="230">
        <f t="shared" si="29"/>
        <v>0</v>
      </c>
      <c r="R49" s="43"/>
      <c r="S49" s="200"/>
      <c r="T49" s="266"/>
      <c r="U49" s="210">
        <f t="shared" si="6"/>
        <v>0</v>
      </c>
      <c r="V49" s="36"/>
      <c r="W49" s="36"/>
      <c r="X49" s="230"/>
      <c r="Y49" s="43"/>
      <c r="Z49" s="47"/>
      <c r="AA49" s="47"/>
    </row>
    <row r="50" spans="1:27" s="118" customFormat="1" ht="9.9499999999999993" customHeight="1" x14ac:dyDescent="0.15">
      <c r="A50" s="144" t="s">
        <v>342</v>
      </c>
      <c r="B50" s="215">
        <v>0.6</v>
      </c>
      <c r="C50" s="145">
        <f t="shared" si="27"/>
        <v>265.45252595419845</v>
      </c>
      <c r="D50" s="191">
        <f t="shared" si="20"/>
        <v>265452.52595419844</v>
      </c>
      <c r="E50" s="274">
        <f>17840.59+1234.8+38493.88+45550.73</f>
        <v>103120</v>
      </c>
      <c r="F50" s="196">
        <f t="shared" si="16"/>
        <v>248.36500000000001</v>
      </c>
      <c r="G50" s="191">
        <f t="shared" si="13"/>
        <v>248365</v>
      </c>
      <c r="H50" s="246">
        <f t="shared" si="2"/>
        <v>316730</v>
      </c>
      <c r="I50" s="200">
        <f>L50-316730</f>
        <v>180000</v>
      </c>
      <c r="J50" s="230">
        <f t="shared" si="28"/>
        <v>496.73</v>
      </c>
      <c r="K50" s="43">
        <f t="shared" si="21"/>
        <v>496.73</v>
      </c>
      <c r="L50" s="200">
        <v>496730</v>
      </c>
      <c r="M50" s="196">
        <f t="shared" si="8"/>
        <v>-84.2</v>
      </c>
      <c r="N50" s="33">
        <f>N51+N52</f>
        <v>0</v>
      </c>
      <c r="O50" s="43">
        <f t="shared" si="26"/>
        <v>0</v>
      </c>
      <c r="P50" s="251">
        <f t="shared" si="4"/>
        <v>0</v>
      </c>
      <c r="Q50" s="230">
        <f t="shared" si="29"/>
        <v>0</v>
      </c>
      <c r="R50" s="43">
        <f t="shared" si="9"/>
        <v>0</v>
      </c>
      <c r="S50" s="200"/>
      <c r="T50" s="266">
        <f>9200+75000</f>
        <v>84200</v>
      </c>
      <c r="U50" s="227">
        <f t="shared" si="6"/>
        <v>162332.52595419847</v>
      </c>
      <c r="V50" s="36">
        <f t="shared" si="5"/>
        <v>181.25252595419846</v>
      </c>
      <c r="W50" s="36">
        <f t="shared" si="24"/>
        <v>248.36500000000001</v>
      </c>
      <c r="X50" s="230">
        <f t="shared" si="30"/>
        <v>496.73</v>
      </c>
      <c r="Y50" s="43">
        <f t="shared" si="30"/>
        <v>496.73</v>
      </c>
      <c r="Z50" s="47"/>
      <c r="AA50" s="47"/>
    </row>
    <row r="51" spans="1:27" s="117" customFormat="1" ht="9" hidden="1" customHeight="1" x14ac:dyDescent="0.15">
      <c r="A51" s="144"/>
      <c r="B51" s="215"/>
      <c r="C51" s="140">
        <f t="shared" si="27"/>
        <v>0</v>
      </c>
      <c r="D51" s="41">
        <f t="shared" si="20"/>
        <v>0</v>
      </c>
      <c r="E51" s="274"/>
      <c r="F51" s="195">
        <f t="shared" si="16"/>
        <v>0</v>
      </c>
      <c r="G51" s="191">
        <f t="shared" si="13"/>
        <v>0</v>
      </c>
      <c r="H51" s="246">
        <f t="shared" si="2"/>
        <v>0</v>
      </c>
      <c r="I51" s="200">
        <f t="shared" si="17"/>
        <v>0</v>
      </c>
      <c r="J51" s="230">
        <f t="shared" si="28"/>
        <v>0</v>
      </c>
      <c r="K51" s="41">
        <f t="shared" si="21"/>
        <v>0</v>
      </c>
      <c r="L51" s="200"/>
      <c r="M51" s="195">
        <f t="shared" si="8"/>
        <v>0</v>
      </c>
      <c r="N51" s="36"/>
      <c r="O51" s="43">
        <f t="shared" si="26"/>
        <v>0</v>
      </c>
      <c r="P51" s="251">
        <f t="shared" si="4"/>
        <v>0</v>
      </c>
      <c r="Q51" s="230">
        <v>0</v>
      </c>
      <c r="R51" s="43">
        <f t="shared" si="9"/>
        <v>0</v>
      </c>
      <c r="S51" s="200"/>
      <c r="T51" s="266"/>
      <c r="U51" s="210">
        <f t="shared" si="6"/>
        <v>0</v>
      </c>
      <c r="V51" s="36">
        <f t="shared" si="5"/>
        <v>0</v>
      </c>
      <c r="W51" s="36">
        <f t="shared" si="24"/>
        <v>0</v>
      </c>
      <c r="X51" s="230">
        <f t="shared" si="30"/>
        <v>0</v>
      </c>
      <c r="Y51" s="43">
        <f t="shared" si="30"/>
        <v>0</v>
      </c>
      <c r="Z51" s="47"/>
      <c r="AA51" s="47"/>
    </row>
    <row r="52" spans="1:27" s="117" customFormat="1" ht="9.9499999999999993" hidden="1" customHeight="1" x14ac:dyDescent="0.15">
      <c r="A52" s="144"/>
      <c r="B52" s="215"/>
      <c r="C52" s="140">
        <f t="shared" si="27"/>
        <v>0</v>
      </c>
      <c r="D52" s="41">
        <f t="shared" si="20"/>
        <v>0</v>
      </c>
      <c r="E52" s="274"/>
      <c r="F52" s="195">
        <f t="shared" si="16"/>
        <v>0</v>
      </c>
      <c r="G52" s="191">
        <f t="shared" si="13"/>
        <v>0</v>
      </c>
      <c r="H52" s="246">
        <f t="shared" si="2"/>
        <v>0</v>
      </c>
      <c r="I52" s="200">
        <f t="shared" si="17"/>
        <v>0</v>
      </c>
      <c r="J52" s="230">
        <f t="shared" si="28"/>
        <v>0</v>
      </c>
      <c r="K52" s="41">
        <f t="shared" si="21"/>
        <v>0</v>
      </c>
      <c r="L52" s="200"/>
      <c r="M52" s="195">
        <f t="shared" si="8"/>
        <v>0</v>
      </c>
      <c r="N52" s="36"/>
      <c r="O52" s="43">
        <f t="shared" si="26"/>
        <v>0</v>
      </c>
      <c r="P52" s="251">
        <f t="shared" si="4"/>
        <v>0</v>
      </c>
      <c r="Q52" s="230">
        <v>0</v>
      </c>
      <c r="R52" s="43">
        <f t="shared" si="9"/>
        <v>0</v>
      </c>
      <c r="S52" s="200"/>
      <c r="T52" s="266"/>
      <c r="U52" s="210">
        <f t="shared" si="6"/>
        <v>0</v>
      </c>
      <c r="V52" s="36">
        <f t="shared" si="5"/>
        <v>0</v>
      </c>
      <c r="W52" s="36">
        <f t="shared" si="24"/>
        <v>0</v>
      </c>
      <c r="X52" s="230">
        <f t="shared" si="30"/>
        <v>0</v>
      </c>
      <c r="Y52" s="43">
        <f t="shared" si="30"/>
        <v>0</v>
      </c>
      <c r="Z52" s="47"/>
      <c r="AA52" s="47"/>
    </row>
    <row r="53" spans="1:27" s="118" customFormat="1" ht="9.9499999999999993" customHeight="1" x14ac:dyDescent="0.15">
      <c r="A53" s="142" t="s">
        <v>274</v>
      </c>
      <c r="B53" s="212">
        <f>SUM(B54:B58)</f>
        <v>3.45</v>
      </c>
      <c r="C53" s="140">
        <f t="shared" si="27"/>
        <v>1015.4347142366411</v>
      </c>
      <c r="D53" s="41">
        <f t="shared" si="20"/>
        <v>1015434.7142366411</v>
      </c>
      <c r="E53" s="247">
        <f>SUM(E54:E58)</f>
        <v>82022.69</v>
      </c>
      <c r="F53" s="195">
        <f t="shared" si="16"/>
        <v>1098.0975000000001</v>
      </c>
      <c r="G53" s="191">
        <f t="shared" si="13"/>
        <v>1098097.5</v>
      </c>
      <c r="H53" s="246">
        <f t="shared" si="2"/>
        <v>1821195</v>
      </c>
      <c r="I53" s="198">
        <f>SUM(I54:I57)</f>
        <v>375000</v>
      </c>
      <c r="J53" s="231">
        <f>SUM(J54:J57)</f>
        <v>2196.1950000000002</v>
      </c>
      <c r="K53" s="41">
        <f t="shared" si="21"/>
        <v>2196.1950000000002</v>
      </c>
      <c r="L53" s="198">
        <f>SUM(L54:L58)</f>
        <v>2196195</v>
      </c>
      <c r="M53" s="195">
        <f>T53/1000*-1</f>
        <v>-69.558899999999994</v>
      </c>
      <c r="N53" s="33">
        <f>N56+N54+N57+N58</f>
        <v>0</v>
      </c>
      <c r="O53" s="41">
        <f t="shared" si="26"/>
        <v>-130</v>
      </c>
      <c r="P53" s="251">
        <f t="shared" si="4"/>
        <v>130000</v>
      </c>
      <c r="Q53" s="231">
        <f>SUM(Q54:Q57)</f>
        <v>-260</v>
      </c>
      <c r="R53" s="41">
        <f t="shared" si="9"/>
        <v>-260</v>
      </c>
      <c r="S53" s="198">
        <f>SUM(S54:S58)</f>
        <v>260000</v>
      </c>
      <c r="T53" s="265">
        <f>SUM(T54:T58)</f>
        <v>69558.899999999994</v>
      </c>
      <c r="U53" s="210">
        <f>SUM(U54:U57)</f>
        <v>933412.02423664113</v>
      </c>
      <c r="V53" s="33">
        <f t="shared" si="5"/>
        <v>945.87581423664108</v>
      </c>
      <c r="W53" s="33">
        <f>F53+O53</f>
        <v>968.09750000000008</v>
      </c>
      <c r="X53" s="231">
        <f t="shared" si="30"/>
        <v>1936.1950000000002</v>
      </c>
      <c r="Y53" s="41">
        <f t="shared" si="30"/>
        <v>1936.1950000000002</v>
      </c>
      <c r="Z53" s="47"/>
      <c r="AA53" s="47"/>
    </row>
    <row r="54" spans="1:27" s="117" customFormat="1" ht="9.9499999999999993" customHeight="1" x14ac:dyDescent="0.15">
      <c r="A54" s="144" t="s">
        <v>275</v>
      </c>
      <c r="B54" s="215">
        <v>1.1499999999999999</v>
      </c>
      <c r="C54" s="145">
        <f t="shared" si="27"/>
        <v>328.25982141221368</v>
      </c>
      <c r="D54" s="191">
        <f t="shared" si="20"/>
        <v>328259.82141221367</v>
      </c>
      <c r="E54" s="274">
        <v>17122.48</v>
      </c>
      <c r="F54" s="196">
        <f t="shared" si="16"/>
        <v>371.03250000000003</v>
      </c>
      <c r="G54" s="191">
        <f t="shared" si="13"/>
        <v>371032.5</v>
      </c>
      <c r="H54" s="246">
        <f t="shared" si="2"/>
        <v>607065</v>
      </c>
      <c r="I54" s="200">
        <f>L54-607065</f>
        <v>135000</v>
      </c>
      <c r="J54" s="230">
        <f>K54</f>
        <v>742.06500000000005</v>
      </c>
      <c r="K54" s="43">
        <f t="shared" si="21"/>
        <v>742.06500000000005</v>
      </c>
      <c r="L54" s="200">
        <v>742065</v>
      </c>
      <c r="M54" s="196">
        <f t="shared" ref="M54:M56" si="31">T54/1000*-1</f>
        <v>0</v>
      </c>
      <c r="N54" s="36"/>
      <c r="O54" s="43">
        <f t="shared" si="26"/>
        <v>0</v>
      </c>
      <c r="P54" s="251">
        <f t="shared" si="4"/>
        <v>0</v>
      </c>
      <c r="Q54" s="230">
        <v>0</v>
      </c>
      <c r="R54" s="43">
        <f t="shared" si="9"/>
        <v>0</v>
      </c>
      <c r="S54" s="200"/>
      <c r="T54" s="266"/>
      <c r="U54" s="227">
        <f t="shared" si="6"/>
        <v>311137.34141221369</v>
      </c>
      <c r="V54" s="36">
        <f t="shared" si="5"/>
        <v>328.25982141221368</v>
      </c>
      <c r="W54" s="36">
        <f t="shared" si="24"/>
        <v>371.03250000000003</v>
      </c>
      <c r="X54" s="230">
        <f t="shared" si="30"/>
        <v>742.06500000000005</v>
      </c>
      <c r="Y54" s="43">
        <f t="shared" si="30"/>
        <v>742.06500000000005</v>
      </c>
      <c r="Z54" s="47"/>
      <c r="AA54" s="47"/>
    </row>
    <row r="55" spans="1:27" s="117" customFormat="1" ht="9.9499999999999993" customHeight="1" x14ac:dyDescent="0.15">
      <c r="A55" s="144" t="s">
        <v>276</v>
      </c>
      <c r="B55" s="215">
        <v>0.5</v>
      </c>
      <c r="C55" s="145">
        <f t="shared" si="27"/>
        <v>135.54205496183206</v>
      </c>
      <c r="D55" s="191">
        <f t="shared" si="20"/>
        <v>135542.05496183207</v>
      </c>
      <c r="E55" s="274">
        <v>264.95</v>
      </c>
      <c r="F55" s="196">
        <f t="shared" si="16"/>
        <v>151.97049999999999</v>
      </c>
      <c r="G55" s="191">
        <f t="shared" si="13"/>
        <v>151970.5</v>
      </c>
      <c r="H55" s="246">
        <f t="shared" si="2"/>
        <v>263941</v>
      </c>
      <c r="I55" s="200">
        <f>L55-263941</f>
        <v>40000</v>
      </c>
      <c r="J55" s="230">
        <f t="shared" ref="J55:J57" si="32">K55</f>
        <v>303.94099999999997</v>
      </c>
      <c r="K55" s="43">
        <f t="shared" si="21"/>
        <v>303.94099999999997</v>
      </c>
      <c r="L55" s="200">
        <v>303941</v>
      </c>
      <c r="M55" s="196">
        <f t="shared" si="31"/>
        <v>0</v>
      </c>
      <c r="N55" s="36"/>
      <c r="O55" s="43">
        <f t="shared" si="26"/>
        <v>0</v>
      </c>
      <c r="P55" s="251">
        <f t="shared" si="4"/>
        <v>0</v>
      </c>
      <c r="Q55" s="230">
        <f>R55</f>
        <v>0</v>
      </c>
      <c r="R55" s="43">
        <f t="shared" si="9"/>
        <v>0</v>
      </c>
      <c r="S55" s="200"/>
      <c r="T55" s="266"/>
      <c r="U55" s="227">
        <f t="shared" si="6"/>
        <v>135277.10496183205</v>
      </c>
      <c r="V55" s="36">
        <f t="shared" si="5"/>
        <v>135.54205496183206</v>
      </c>
      <c r="W55" s="36">
        <f t="shared" si="24"/>
        <v>151.97049999999999</v>
      </c>
      <c r="X55" s="230">
        <f t="shared" si="30"/>
        <v>303.94099999999997</v>
      </c>
      <c r="Y55" s="43">
        <f t="shared" si="30"/>
        <v>303.94099999999997</v>
      </c>
      <c r="Z55" s="47"/>
      <c r="AA55" s="47"/>
    </row>
    <row r="56" spans="1:27" s="117" customFormat="1" ht="9.9499999999999993" customHeight="1" x14ac:dyDescent="0.15">
      <c r="A56" s="144" t="s">
        <v>277</v>
      </c>
      <c r="B56" s="215">
        <v>0.5</v>
      </c>
      <c r="C56" s="145">
        <f t="shared" si="27"/>
        <v>149.41985496183204</v>
      </c>
      <c r="D56" s="191">
        <f t="shared" si="20"/>
        <v>149419.85496183205</v>
      </c>
      <c r="E56" s="274">
        <v>14142.75</v>
      </c>
      <c r="F56" s="196">
        <f t="shared" si="16"/>
        <v>181.97049999999999</v>
      </c>
      <c r="G56" s="191">
        <f t="shared" si="13"/>
        <v>181970.5</v>
      </c>
      <c r="H56" s="246">
        <f t="shared" si="2"/>
        <v>263941</v>
      </c>
      <c r="I56" s="200">
        <f>L56-263941</f>
        <v>100000</v>
      </c>
      <c r="J56" s="230">
        <f t="shared" si="32"/>
        <v>363.94099999999997</v>
      </c>
      <c r="K56" s="43">
        <f t="shared" si="21"/>
        <v>363.94099999999997</v>
      </c>
      <c r="L56" s="200">
        <v>363941</v>
      </c>
      <c r="M56" s="196">
        <f t="shared" si="31"/>
        <v>0</v>
      </c>
      <c r="N56" s="36"/>
      <c r="O56" s="43">
        <f t="shared" si="26"/>
        <v>0</v>
      </c>
      <c r="P56" s="251">
        <f t="shared" si="4"/>
        <v>0</v>
      </c>
      <c r="Q56" s="230">
        <f>R56</f>
        <v>0</v>
      </c>
      <c r="R56" s="43">
        <f t="shared" si="9"/>
        <v>0</v>
      </c>
      <c r="S56" s="200"/>
      <c r="T56" s="266"/>
      <c r="U56" s="227">
        <f t="shared" si="6"/>
        <v>135277.10496183205</v>
      </c>
      <c r="V56" s="36">
        <f t="shared" si="5"/>
        <v>149.41985496183204</v>
      </c>
      <c r="W56" s="36">
        <f t="shared" si="24"/>
        <v>181.97049999999999</v>
      </c>
      <c r="X56" s="230">
        <f t="shared" si="30"/>
        <v>363.94099999999997</v>
      </c>
      <c r="Y56" s="43">
        <f t="shared" si="30"/>
        <v>363.94099999999997</v>
      </c>
      <c r="Z56" s="47"/>
      <c r="AA56" s="47"/>
    </row>
    <row r="57" spans="1:27" s="117" customFormat="1" ht="9.9499999999999993" customHeight="1" x14ac:dyDescent="0.15">
      <c r="A57" s="144" t="s">
        <v>278</v>
      </c>
      <c r="B57" s="215">
        <v>1.3</v>
      </c>
      <c r="C57" s="145">
        <f t="shared" si="19"/>
        <v>402.21298290076334</v>
      </c>
      <c r="D57" s="191">
        <f t="shared" si="20"/>
        <v>402212.98290076334</v>
      </c>
      <c r="E57" s="274">
        <f>6927.3+43565.21</f>
        <v>50492.51</v>
      </c>
      <c r="F57" s="196">
        <f t="shared" si="16"/>
        <v>393.12400000000002</v>
      </c>
      <c r="G57" s="191">
        <f t="shared" si="13"/>
        <v>393124</v>
      </c>
      <c r="H57" s="246">
        <f t="shared" si="2"/>
        <v>686248</v>
      </c>
      <c r="I57" s="200">
        <f>L57-686248</f>
        <v>100000</v>
      </c>
      <c r="J57" s="230">
        <f t="shared" si="32"/>
        <v>786.24800000000005</v>
      </c>
      <c r="K57" s="43">
        <f t="shared" si="21"/>
        <v>786.24800000000005</v>
      </c>
      <c r="L57" s="200">
        <v>786248</v>
      </c>
      <c r="M57" s="196">
        <f t="shared" si="8"/>
        <v>-69.558899999999994</v>
      </c>
      <c r="N57" s="36"/>
      <c r="O57" s="43">
        <f t="shared" si="26"/>
        <v>-130</v>
      </c>
      <c r="P57" s="251">
        <f t="shared" si="4"/>
        <v>130000</v>
      </c>
      <c r="Q57" s="230">
        <f>R57</f>
        <v>-260</v>
      </c>
      <c r="R57" s="43">
        <f t="shared" si="9"/>
        <v>-260</v>
      </c>
      <c r="S57" s="200">
        <v>260000</v>
      </c>
      <c r="T57" s="266">
        <v>69558.899999999994</v>
      </c>
      <c r="U57" s="227">
        <f t="shared" si="6"/>
        <v>351720.47290076333</v>
      </c>
      <c r="V57" s="36">
        <f t="shared" si="5"/>
        <v>332.65408290076334</v>
      </c>
      <c r="W57" s="36">
        <f t="shared" si="24"/>
        <v>263.12400000000002</v>
      </c>
      <c r="X57" s="230">
        <f t="shared" si="30"/>
        <v>526.24800000000005</v>
      </c>
      <c r="Y57" s="43">
        <f t="shared" si="30"/>
        <v>526.24800000000005</v>
      </c>
      <c r="Z57" s="47"/>
      <c r="AA57" s="47"/>
    </row>
    <row r="58" spans="1:27" s="117" customFormat="1" ht="9.9499999999999993" hidden="1" customHeight="1" x14ac:dyDescent="0.15">
      <c r="A58" s="144"/>
      <c r="B58" s="215"/>
      <c r="C58" s="145">
        <f t="shared" si="19"/>
        <v>0</v>
      </c>
      <c r="D58" s="41">
        <f t="shared" si="20"/>
        <v>0</v>
      </c>
      <c r="E58" s="274"/>
      <c r="F58" s="195">
        <f t="shared" si="16"/>
        <v>0</v>
      </c>
      <c r="G58" s="191">
        <f t="shared" si="13"/>
        <v>0</v>
      </c>
      <c r="H58" s="246">
        <f t="shared" si="2"/>
        <v>0</v>
      </c>
      <c r="I58" s="200">
        <f t="shared" si="17"/>
        <v>0</v>
      </c>
      <c r="J58" s="230"/>
      <c r="K58" s="41">
        <f t="shared" si="21"/>
        <v>0</v>
      </c>
      <c r="L58" s="200"/>
      <c r="M58" s="195">
        <f t="shared" si="8"/>
        <v>0</v>
      </c>
      <c r="N58" s="36"/>
      <c r="O58" s="43">
        <f t="shared" si="26"/>
        <v>0</v>
      </c>
      <c r="P58" s="251">
        <f t="shared" si="4"/>
        <v>0</v>
      </c>
      <c r="Q58" s="230">
        <v>0</v>
      </c>
      <c r="R58" s="43">
        <f t="shared" si="9"/>
        <v>0</v>
      </c>
      <c r="S58" s="200"/>
      <c r="T58" s="266"/>
      <c r="U58" s="210">
        <f t="shared" si="6"/>
        <v>0</v>
      </c>
      <c r="V58" s="36">
        <f t="shared" si="5"/>
        <v>0</v>
      </c>
      <c r="W58" s="36">
        <f t="shared" si="24"/>
        <v>0</v>
      </c>
      <c r="X58" s="230">
        <f t="shared" si="30"/>
        <v>0</v>
      </c>
      <c r="Y58" s="43">
        <f t="shared" si="30"/>
        <v>0</v>
      </c>
      <c r="Z58" s="47"/>
      <c r="AA58" s="47"/>
    </row>
    <row r="59" spans="1:27" s="118" customFormat="1" ht="9.9499999999999993" customHeight="1" x14ac:dyDescent="0.15">
      <c r="A59" s="142" t="s">
        <v>279</v>
      </c>
      <c r="B59" s="212">
        <f>SUM(B60:B64)</f>
        <v>2.5</v>
      </c>
      <c r="C59" s="140">
        <f t="shared" si="19"/>
        <v>831.77528480916033</v>
      </c>
      <c r="D59" s="41">
        <f>E59+U59</f>
        <v>831775.28480916028</v>
      </c>
      <c r="E59" s="247">
        <f>SUM(E60:E61)</f>
        <v>155389.76000000001</v>
      </c>
      <c r="F59" s="195">
        <f t="shared" si="16"/>
        <v>779.85350000000005</v>
      </c>
      <c r="G59" s="191">
        <f t="shared" si="13"/>
        <v>779853.5</v>
      </c>
      <c r="H59" s="246">
        <f t="shared" si="2"/>
        <v>1319707</v>
      </c>
      <c r="I59" s="198">
        <f>SUM(I60:I61)</f>
        <v>240000</v>
      </c>
      <c r="J59" s="231">
        <f>SUM(J60:J62)</f>
        <v>1559.7070000000001</v>
      </c>
      <c r="K59" s="41">
        <f t="shared" si="21"/>
        <v>1559.7070000000001</v>
      </c>
      <c r="L59" s="198">
        <f>SUM(L60:L64)</f>
        <v>1559707</v>
      </c>
      <c r="M59" s="195">
        <f t="shared" si="8"/>
        <v>0</v>
      </c>
      <c r="N59" s="33">
        <f>N60+N61+N62+N63+N64</f>
        <v>0</v>
      </c>
      <c r="O59" s="41">
        <f t="shared" si="26"/>
        <v>0</v>
      </c>
      <c r="P59" s="251">
        <f t="shared" si="4"/>
        <v>0</v>
      </c>
      <c r="Q59" s="231">
        <f>Q60+Q61+Q62+Q64+Q63</f>
        <v>0</v>
      </c>
      <c r="R59" s="41">
        <f t="shared" si="9"/>
        <v>0</v>
      </c>
      <c r="S59" s="198">
        <f>S61+S62+S63+S64</f>
        <v>0</v>
      </c>
      <c r="T59" s="265"/>
      <c r="U59" s="210">
        <f>SUM(U60:U61)</f>
        <v>676385.52480916027</v>
      </c>
      <c r="V59" s="33">
        <f t="shared" si="5"/>
        <v>831.77528480916033</v>
      </c>
      <c r="W59" s="33">
        <f t="shared" si="24"/>
        <v>779.85350000000005</v>
      </c>
      <c r="X59" s="231">
        <f t="shared" si="30"/>
        <v>1559.7070000000001</v>
      </c>
      <c r="Y59" s="41">
        <f t="shared" si="30"/>
        <v>1559.7070000000001</v>
      </c>
      <c r="Z59" s="47"/>
      <c r="AA59" s="47"/>
    </row>
    <row r="60" spans="1:27" s="117" customFormat="1" ht="9.9499999999999993" customHeight="1" x14ac:dyDescent="0.15">
      <c r="A60" s="144" t="s">
        <v>280</v>
      </c>
      <c r="B60" s="215">
        <v>1.9</v>
      </c>
      <c r="C60" s="145">
        <f t="shared" si="19"/>
        <v>579.51793885496181</v>
      </c>
      <c r="D60" s="191">
        <f t="shared" si="20"/>
        <v>579517.93885496177</v>
      </c>
      <c r="E60" s="274">
        <v>65464.94</v>
      </c>
      <c r="F60" s="196">
        <f t="shared" si="16"/>
        <v>521.48850000000004</v>
      </c>
      <c r="G60" s="191">
        <f t="shared" si="13"/>
        <v>521488.5</v>
      </c>
      <c r="H60" s="246">
        <f t="shared" si="2"/>
        <v>1002977</v>
      </c>
      <c r="I60" s="200">
        <f>L60-1002977</f>
        <v>40000</v>
      </c>
      <c r="J60" s="230">
        <f>K60</f>
        <v>1042.9770000000001</v>
      </c>
      <c r="K60" s="43">
        <f t="shared" si="21"/>
        <v>1042.9770000000001</v>
      </c>
      <c r="L60" s="200">
        <v>1042977</v>
      </c>
      <c r="M60" s="196">
        <f t="shared" si="8"/>
        <v>0</v>
      </c>
      <c r="N60" s="36"/>
      <c r="O60" s="43">
        <f t="shared" si="26"/>
        <v>0</v>
      </c>
      <c r="P60" s="251">
        <f t="shared" si="4"/>
        <v>0</v>
      </c>
      <c r="Q60" s="230">
        <f>R60</f>
        <v>0</v>
      </c>
      <c r="R60" s="43">
        <f t="shared" si="9"/>
        <v>0</v>
      </c>
      <c r="S60" s="200"/>
      <c r="T60" s="266"/>
      <c r="U60" s="227">
        <f t="shared" si="6"/>
        <v>514052.99885496177</v>
      </c>
      <c r="V60" s="36">
        <f t="shared" si="5"/>
        <v>579.51793885496181</v>
      </c>
      <c r="W60" s="36">
        <f t="shared" si="24"/>
        <v>521.48850000000004</v>
      </c>
      <c r="X60" s="230">
        <f t="shared" si="30"/>
        <v>1042.9770000000001</v>
      </c>
      <c r="Y60" s="43">
        <f t="shared" si="30"/>
        <v>1042.9770000000001</v>
      </c>
      <c r="Z60" s="47"/>
      <c r="AA60" s="47"/>
    </row>
    <row r="61" spans="1:27" s="117" customFormat="1" ht="9.9499999999999993" customHeight="1" x14ac:dyDescent="0.15">
      <c r="A61" s="144" t="s">
        <v>281</v>
      </c>
      <c r="B61" s="215">
        <v>0.6</v>
      </c>
      <c r="C61" s="145">
        <f t="shared" si="19"/>
        <v>252.25734595419848</v>
      </c>
      <c r="D61" s="191">
        <f t="shared" si="20"/>
        <v>252257.34595419848</v>
      </c>
      <c r="E61" s="274">
        <f>53932.24+35992.58</f>
        <v>89924.82</v>
      </c>
      <c r="F61" s="196">
        <f t="shared" si="16"/>
        <v>258.36500000000001</v>
      </c>
      <c r="G61" s="191">
        <f t="shared" si="13"/>
        <v>258365</v>
      </c>
      <c r="H61" s="246">
        <f t="shared" si="2"/>
        <v>316730</v>
      </c>
      <c r="I61" s="200">
        <f>L61-316730</f>
        <v>200000</v>
      </c>
      <c r="J61" s="230">
        <f t="shared" ref="J61:J64" si="33">K61</f>
        <v>516.73</v>
      </c>
      <c r="K61" s="43">
        <f t="shared" si="21"/>
        <v>516.73</v>
      </c>
      <c r="L61" s="200">
        <v>516730</v>
      </c>
      <c r="M61" s="196">
        <f t="shared" si="8"/>
        <v>0</v>
      </c>
      <c r="N61" s="36"/>
      <c r="O61" s="43">
        <f t="shared" si="26"/>
        <v>0</v>
      </c>
      <c r="P61" s="251">
        <f t="shared" si="4"/>
        <v>0</v>
      </c>
      <c r="Q61" s="230">
        <f>R61</f>
        <v>0</v>
      </c>
      <c r="R61" s="43">
        <f t="shared" si="9"/>
        <v>0</v>
      </c>
      <c r="S61" s="200"/>
      <c r="T61" s="266"/>
      <c r="U61" s="227">
        <f t="shared" si="6"/>
        <v>162332.52595419847</v>
      </c>
      <c r="V61" s="36">
        <f t="shared" si="5"/>
        <v>252.25734595419848</v>
      </c>
      <c r="W61" s="36">
        <f t="shared" si="24"/>
        <v>258.36500000000001</v>
      </c>
      <c r="X61" s="230">
        <f t="shared" si="30"/>
        <v>516.73</v>
      </c>
      <c r="Y61" s="43">
        <f t="shared" si="30"/>
        <v>516.73</v>
      </c>
      <c r="Z61" s="47"/>
      <c r="AA61" s="47"/>
    </row>
    <row r="62" spans="1:27" s="117" customFormat="1" ht="9.9499999999999993" hidden="1" customHeight="1" x14ac:dyDescent="0.15">
      <c r="A62" s="144"/>
      <c r="B62" s="215"/>
      <c r="C62" s="145">
        <f t="shared" si="19"/>
        <v>0</v>
      </c>
      <c r="D62" s="41">
        <f t="shared" si="20"/>
        <v>0</v>
      </c>
      <c r="E62" s="274"/>
      <c r="F62" s="196">
        <f t="shared" si="16"/>
        <v>0</v>
      </c>
      <c r="G62" s="191">
        <f t="shared" si="13"/>
        <v>0</v>
      </c>
      <c r="H62" s="246">
        <f t="shared" si="2"/>
        <v>0</v>
      </c>
      <c r="I62" s="200">
        <f t="shared" si="17"/>
        <v>0</v>
      </c>
      <c r="J62" s="230">
        <f t="shared" si="33"/>
        <v>0</v>
      </c>
      <c r="K62" s="43"/>
      <c r="L62" s="200"/>
      <c r="M62" s="196">
        <f t="shared" si="8"/>
        <v>0</v>
      </c>
      <c r="N62" s="36"/>
      <c r="O62" s="43">
        <f t="shared" si="26"/>
        <v>0</v>
      </c>
      <c r="P62" s="251">
        <f t="shared" si="4"/>
        <v>0</v>
      </c>
      <c r="Q62" s="230">
        <v>0</v>
      </c>
      <c r="R62" s="43">
        <f t="shared" si="9"/>
        <v>0</v>
      </c>
      <c r="S62" s="200"/>
      <c r="T62" s="266"/>
      <c r="U62" s="210">
        <f t="shared" si="6"/>
        <v>0</v>
      </c>
      <c r="V62" s="36">
        <f t="shared" si="5"/>
        <v>0</v>
      </c>
      <c r="W62" s="36">
        <f t="shared" si="24"/>
        <v>0</v>
      </c>
      <c r="X62" s="230">
        <f t="shared" si="30"/>
        <v>0</v>
      </c>
      <c r="Y62" s="43">
        <f t="shared" si="30"/>
        <v>0</v>
      </c>
      <c r="Z62" s="47"/>
      <c r="AA62" s="47"/>
    </row>
    <row r="63" spans="1:27" s="117" customFormat="1" ht="9.9499999999999993" hidden="1" customHeight="1" x14ac:dyDescent="0.15">
      <c r="A63" s="144"/>
      <c r="B63" s="212"/>
      <c r="C63" s="145">
        <f t="shared" si="19"/>
        <v>0</v>
      </c>
      <c r="D63" s="41">
        <f t="shared" si="20"/>
        <v>0</v>
      </c>
      <c r="E63" s="274"/>
      <c r="F63" s="195">
        <f t="shared" si="16"/>
        <v>0</v>
      </c>
      <c r="G63" s="191">
        <f t="shared" si="13"/>
        <v>0</v>
      </c>
      <c r="H63" s="246">
        <f t="shared" si="2"/>
        <v>0</v>
      </c>
      <c r="I63" s="200">
        <f t="shared" si="17"/>
        <v>0</v>
      </c>
      <c r="J63" s="230">
        <f t="shared" si="33"/>
        <v>0</v>
      </c>
      <c r="K63" s="41">
        <f t="shared" si="21"/>
        <v>0</v>
      </c>
      <c r="L63" s="200"/>
      <c r="M63" s="195">
        <f t="shared" si="8"/>
        <v>0</v>
      </c>
      <c r="N63" s="36"/>
      <c r="O63" s="43">
        <f t="shared" si="26"/>
        <v>0</v>
      </c>
      <c r="P63" s="251">
        <f t="shared" si="4"/>
        <v>0</v>
      </c>
      <c r="Q63" s="230"/>
      <c r="R63" s="43">
        <f t="shared" si="9"/>
        <v>0</v>
      </c>
      <c r="S63" s="200"/>
      <c r="T63" s="266"/>
      <c r="U63" s="210">
        <f t="shared" si="6"/>
        <v>0</v>
      </c>
      <c r="V63" s="36">
        <f t="shared" si="5"/>
        <v>0</v>
      </c>
      <c r="W63" s="36">
        <f t="shared" si="24"/>
        <v>0</v>
      </c>
      <c r="X63" s="230">
        <f t="shared" si="30"/>
        <v>0</v>
      </c>
      <c r="Y63" s="43">
        <f t="shared" si="30"/>
        <v>0</v>
      </c>
      <c r="Z63" s="47"/>
      <c r="AA63" s="47"/>
    </row>
    <row r="64" spans="1:27" s="117" customFormat="1" ht="9.9499999999999993" hidden="1" customHeight="1" x14ac:dyDescent="0.15">
      <c r="A64" s="144"/>
      <c r="B64" s="212"/>
      <c r="C64" s="145">
        <f t="shared" si="19"/>
        <v>0</v>
      </c>
      <c r="D64" s="41">
        <f t="shared" si="20"/>
        <v>0</v>
      </c>
      <c r="E64" s="274"/>
      <c r="F64" s="195">
        <f t="shared" si="16"/>
        <v>0</v>
      </c>
      <c r="G64" s="191">
        <f t="shared" si="13"/>
        <v>0</v>
      </c>
      <c r="H64" s="246">
        <f t="shared" si="2"/>
        <v>0</v>
      </c>
      <c r="I64" s="200">
        <f t="shared" si="17"/>
        <v>0</v>
      </c>
      <c r="J64" s="230">
        <f t="shared" si="33"/>
        <v>0</v>
      </c>
      <c r="K64" s="41">
        <f t="shared" si="21"/>
        <v>0</v>
      </c>
      <c r="L64" s="200"/>
      <c r="M64" s="195">
        <f t="shared" si="8"/>
        <v>0</v>
      </c>
      <c r="N64" s="36"/>
      <c r="O64" s="43">
        <f t="shared" si="26"/>
        <v>0</v>
      </c>
      <c r="P64" s="251">
        <f t="shared" si="4"/>
        <v>0</v>
      </c>
      <c r="Q64" s="230">
        <v>0</v>
      </c>
      <c r="R64" s="43">
        <f t="shared" si="9"/>
        <v>0</v>
      </c>
      <c r="S64" s="200"/>
      <c r="T64" s="266"/>
      <c r="U64" s="210">
        <f t="shared" si="6"/>
        <v>0</v>
      </c>
      <c r="V64" s="36">
        <f t="shared" si="5"/>
        <v>0</v>
      </c>
      <c r="W64" s="36">
        <f t="shared" si="24"/>
        <v>0</v>
      </c>
      <c r="X64" s="230">
        <f t="shared" si="30"/>
        <v>0</v>
      </c>
      <c r="Y64" s="43">
        <f t="shared" si="30"/>
        <v>0</v>
      </c>
      <c r="Z64" s="47"/>
      <c r="AA64" s="47"/>
    </row>
    <row r="65" spans="1:27" s="118" customFormat="1" ht="9.9499999999999993" customHeight="1" x14ac:dyDescent="0.15">
      <c r="A65" s="142" t="s">
        <v>282</v>
      </c>
      <c r="B65" s="212">
        <f>SUM(B66:B72)</f>
        <v>1.65</v>
      </c>
      <c r="C65" s="140">
        <f t="shared" si="19"/>
        <v>698.85598637404576</v>
      </c>
      <c r="D65" s="41">
        <f t="shared" si="20"/>
        <v>698855.98637404572</v>
      </c>
      <c r="E65" s="247">
        <f>SUM(E66:E67)</f>
        <v>252441.53999999998</v>
      </c>
      <c r="F65" s="195">
        <f t="shared" si="16"/>
        <v>466.25349999999997</v>
      </c>
      <c r="G65" s="191">
        <f t="shared" si="13"/>
        <v>466253.5</v>
      </c>
      <c r="H65" s="246">
        <f t="shared" si="2"/>
        <v>871007</v>
      </c>
      <c r="I65" s="198">
        <f>SUM(I66:I67)</f>
        <v>61500</v>
      </c>
      <c r="J65" s="231">
        <f>SUM(J66:J71)</f>
        <v>932.50700000000006</v>
      </c>
      <c r="K65" s="41">
        <f t="shared" si="21"/>
        <v>932.50699999999995</v>
      </c>
      <c r="L65" s="198">
        <f>SUM(L66:L72)</f>
        <v>932507</v>
      </c>
      <c r="M65" s="195">
        <f t="shared" si="8"/>
        <v>-300</v>
      </c>
      <c r="N65" s="33">
        <f>N66+N67+N72</f>
        <v>0</v>
      </c>
      <c r="O65" s="41">
        <f t="shared" si="26"/>
        <v>0</v>
      </c>
      <c r="P65" s="251">
        <f t="shared" si="4"/>
        <v>0</v>
      </c>
      <c r="Q65" s="231">
        <f>SUM(Q66:Q71)</f>
        <v>0</v>
      </c>
      <c r="R65" s="41">
        <f t="shared" si="9"/>
        <v>0</v>
      </c>
      <c r="S65" s="198">
        <f>SUM(S66:S72)</f>
        <v>0</v>
      </c>
      <c r="T65" s="265">
        <f>SUM(T66:T72)</f>
        <v>300000</v>
      </c>
      <c r="U65" s="210">
        <f>SUM(U66:U67)</f>
        <v>446414.4463740458</v>
      </c>
      <c r="V65" s="33">
        <f t="shared" si="5"/>
        <v>398.85598637404576</v>
      </c>
      <c r="W65" s="33">
        <f t="shared" si="24"/>
        <v>466.25349999999997</v>
      </c>
      <c r="X65" s="231">
        <f t="shared" si="30"/>
        <v>932.50700000000006</v>
      </c>
      <c r="Y65" s="41">
        <f t="shared" si="30"/>
        <v>932.50699999999995</v>
      </c>
      <c r="Z65" s="47"/>
      <c r="AA65" s="47"/>
    </row>
    <row r="66" spans="1:27" s="117" customFormat="1" ht="9.9499999999999993" customHeight="1" x14ac:dyDescent="0.15">
      <c r="A66" s="144" t="s">
        <v>283</v>
      </c>
      <c r="B66" s="215">
        <v>1.05</v>
      </c>
      <c r="C66" s="145">
        <f t="shared" si="19"/>
        <v>314.52903041984729</v>
      </c>
      <c r="D66" s="191">
        <f t="shared" si="20"/>
        <v>314529.03041984729</v>
      </c>
      <c r="E66" s="274">
        <v>30447.11</v>
      </c>
      <c r="F66" s="196">
        <f t="shared" si="16"/>
        <v>307.88850000000002</v>
      </c>
      <c r="G66" s="191">
        <f t="shared" si="13"/>
        <v>307888.5</v>
      </c>
      <c r="H66" s="246">
        <f t="shared" si="2"/>
        <v>554277</v>
      </c>
      <c r="I66" s="200">
        <f>L66-554277</f>
        <v>61500</v>
      </c>
      <c r="J66" s="230">
        <f>K66</f>
        <v>615.77700000000004</v>
      </c>
      <c r="K66" s="43">
        <f t="shared" si="21"/>
        <v>615.77700000000004</v>
      </c>
      <c r="L66" s="200">
        <v>615777</v>
      </c>
      <c r="M66" s="196">
        <f t="shared" si="8"/>
        <v>0</v>
      </c>
      <c r="N66" s="36"/>
      <c r="O66" s="43">
        <f t="shared" si="26"/>
        <v>0</v>
      </c>
      <c r="P66" s="251">
        <f t="shared" si="4"/>
        <v>0</v>
      </c>
      <c r="Q66" s="230">
        <v>0</v>
      </c>
      <c r="R66" s="43">
        <f t="shared" si="9"/>
        <v>0</v>
      </c>
      <c r="S66" s="200"/>
      <c r="T66" s="266"/>
      <c r="U66" s="227">
        <f t="shared" si="6"/>
        <v>284081.9204198473</v>
      </c>
      <c r="V66" s="36">
        <f t="shared" si="5"/>
        <v>314.52903041984729</v>
      </c>
      <c r="W66" s="36">
        <f t="shared" si="24"/>
        <v>307.88850000000002</v>
      </c>
      <c r="X66" s="230">
        <f t="shared" si="30"/>
        <v>615.77700000000004</v>
      </c>
      <c r="Y66" s="43">
        <f t="shared" si="30"/>
        <v>615.77700000000004</v>
      </c>
      <c r="Z66" s="47"/>
      <c r="AA66" s="47"/>
    </row>
    <row r="67" spans="1:27" s="117" customFormat="1" ht="9.9499999999999993" customHeight="1" x14ac:dyDescent="0.15">
      <c r="A67" s="144" t="s">
        <v>284</v>
      </c>
      <c r="B67" s="215">
        <v>0.6</v>
      </c>
      <c r="C67" s="145">
        <f t="shared" si="19"/>
        <v>384.32695595419847</v>
      </c>
      <c r="D67" s="191">
        <f t="shared" si="20"/>
        <v>384326.95595419849</v>
      </c>
      <c r="E67" s="274">
        <v>221994.43</v>
      </c>
      <c r="F67" s="196">
        <f t="shared" si="16"/>
        <v>158.36500000000001</v>
      </c>
      <c r="G67" s="191">
        <f t="shared" si="13"/>
        <v>158365</v>
      </c>
      <c r="H67" s="246">
        <f t="shared" si="2"/>
        <v>316730</v>
      </c>
      <c r="I67" s="200">
        <f>L67-316730</f>
        <v>0</v>
      </c>
      <c r="J67" s="230">
        <f t="shared" ref="J67:J72" si="34">K67</f>
        <v>316.73</v>
      </c>
      <c r="K67" s="43">
        <f t="shared" si="21"/>
        <v>316.73</v>
      </c>
      <c r="L67" s="200">
        <v>316730</v>
      </c>
      <c r="M67" s="196">
        <f t="shared" si="8"/>
        <v>-300</v>
      </c>
      <c r="N67" s="36"/>
      <c r="O67" s="43">
        <f t="shared" si="26"/>
        <v>0</v>
      </c>
      <c r="P67" s="251">
        <f t="shared" si="4"/>
        <v>0</v>
      </c>
      <c r="Q67" s="230">
        <v>0</v>
      </c>
      <c r="R67" s="43">
        <f t="shared" si="9"/>
        <v>0</v>
      </c>
      <c r="S67" s="200"/>
      <c r="T67" s="266">
        <v>300000</v>
      </c>
      <c r="U67" s="227">
        <f t="shared" si="6"/>
        <v>162332.52595419847</v>
      </c>
      <c r="V67" s="36">
        <f t="shared" si="5"/>
        <v>84.326955954198468</v>
      </c>
      <c r="W67" s="36">
        <f t="shared" si="24"/>
        <v>158.36500000000001</v>
      </c>
      <c r="X67" s="230">
        <f t="shared" si="30"/>
        <v>316.73</v>
      </c>
      <c r="Y67" s="43">
        <f t="shared" si="30"/>
        <v>316.73</v>
      </c>
      <c r="Z67" s="47"/>
      <c r="AA67" s="47"/>
    </row>
    <row r="68" spans="1:27" s="117" customFormat="1" ht="9.9499999999999993" hidden="1" customHeight="1" x14ac:dyDescent="0.15">
      <c r="A68" s="144"/>
      <c r="B68" s="215"/>
      <c r="C68" s="145">
        <f t="shared" si="19"/>
        <v>0</v>
      </c>
      <c r="D68" s="41">
        <f t="shared" si="20"/>
        <v>0</v>
      </c>
      <c r="E68" s="274"/>
      <c r="F68" s="196">
        <f t="shared" si="16"/>
        <v>0</v>
      </c>
      <c r="G68" s="191">
        <f t="shared" si="13"/>
        <v>0</v>
      </c>
      <c r="H68" s="246">
        <f t="shared" si="2"/>
        <v>0</v>
      </c>
      <c r="I68" s="200">
        <f t="shared" si="17"/>
        <v>0</v>
      </c>
      <c r="J68" s="230">
        <f t="shared" si="34"/>
        <v>0</v>
      </c>
      <c r="K68" s="43">
        <f t="shared" si="21"/>
        <v>0</v>
      </c>
      <c r="L68" s="200"/>
      <c r="M68" s="196">
        <f t="shared" si="8"/>
        <v>0</v>
      </c>
      <c r="N68" s="36"/>
      <c r="O68" s="43">
        <f t="shared" si="26"/>
        <v>0</v>
      </c>
      <c r="P68" s="251">
        <f t="shared" si="4"/>
        <v>0</v>
      </c>
      <c r="Q68" s="230"/>
      <c r="R68" s="43">
        <f t="shared" si="9"/>
        <v>0</v>
      </c>
      <c r="S68" s="200"/>
      <c r="T68" s="266"/>
      <c r="U68" s="210">
        <f t="shared" si="6"/>
        <v>0</v>
      </c>
      <c r="V68" s="36">
        <f t="shared" si="5"/>
        <v>0</v>
      </c>
      <c r="W68" s="36">
        <f t="shared" si="24"/>
        <v>0</v>
      </c>
      <c r="X68" s="230">
        <f t="shared" si="30"/>
        <v>0</v>
      </c>
      <c r="Y68" s="43">
        <f t="shared" si="30"/>
        <v>0</v>
      </c>
      <c r="Z68" s="47"/>
      <c r="AA68" s="47"/>
    </row>
    <row r="69" spans="1:27" s="117" customFormat="1" ht="9.75" hidden="1" customHeight="1" x14ac:dyDescent="0.15">
      <c r="A69" s="144"/>
      <c r="B69" s="215"/>
      <c r="C69" s="145">
        <f t="shared" si="19"/>
        <v>0</v>
      </c>
      <c r="D69" s="41">
        <f t="shared" si="20"/>
        <v>0</v>
      </c>
      <c r="E69" s="274"/>
      <c r="F69" s="196">
        <f t="shared" si="16"/>
        <v>0</v>
      </c>
      <c r="G69" s="191">
        <f t="shared" si="13"/>
        <v>0</v>
      </c>
      <c r="H69" s="246">
        <f t="shared" si="2"/>
        <v>0</v>
      </c>
      <c r="I69" s="200">
        <f t="shared" si="17"/>
        <v>0</v>
      </c>
      <c r="J69" s="230">
        <f t="shared" si="34"/>
        <v>0</v>
      </c>
      <c r="K69" s="43">
        <f t="shared" si="21"/>
        <v>0</v>
      </c>
      <c r="L69" s="200"/>
      <c r="M69" s="196">
        <f t="shared" si="8"/>
        <v>0</v>
      </c>
      <c r="N69" s="36"/>
      <c r="O69" s="43">
        <f t="shared" si="26"/>
        <v>0</v>
      </c>
      <c r="P69" s="251">
        <f t="shared" si="4"/>
        <v>0</v>
      </c>
      <c r="Q69" s="230"/>
      <c r="R69" s="43">
        <f t="shared" si="9"/>
        <v>0</v>
      </c>
      <c r="S69" s="200"/>
      <c r="T69" s="266"/>
      <c r="U69" s="210">
        <f t="shared" si="6"/>
        <v>0</v>
      </c>
      <c r="V69" s="36">
        <f t="shared" si="5"/>
        <v>0</v>
      </c>
      <c r="W69" s="36">
        <f t="shared" si="24"/>
        <v>0</v>
      </c>
      <c r="X69" s="230">
        <f t="shared" si="30"/>
        <v>0</v>
      </c>
      <c r="Y69" s="43">
        <f t="shared" si="30"/>
        <v>0</v>
      </c>
      <c r="Z69" s="47"/>
      <c r="AA69" s="47"/>
    </row>
    <row r="70" spans="1:27" s="117" customFormat="1" ht="9.9499999999999993" hidden="1" customHeight="1" x14ac:dyDescent="0.15">
      <c r="A70" s="144"/>
      <c r="B70" s="215"/>
      <c r="C70" s="145">
        <f t="shared" si="19"/>
        <v>0</v>
      </c>
      <c r="D70" s="41">
        <f t="shared" si="20"/>
        <v>0</v>
      </c>
      <c r="E70" s="274"/>
      <c r="F70" s="196">
        <f t="shared" si="16"/>
        <v>0</v>
      </c>
      <c r="G70" s="191">
        <f t="shared" si="13"/>
        <v>0</v>
      </c>
      <c r="H70" s="246">
        <f t="shared" si="2"/>
        <v>0</v>
      </c>
      <c r="I70" s="200">
        <f t="shared" si="17"/>
        <v>0</v>
      </c>
      <c r="J70" s="230">
        <f t="shared" si="34"/>
        <v>0</v>
      </c>
      <c r="K70" s="43">
        <f t="shared" si="21"/>
        <v>0</v>
      </c>
      <c r="L70" s="200">
        <v>0</v>
      </c>
      <c r="M70" s="196">
        <f t="shared" si="8"/>
        <v>0</v>
      </c>
      <c r="N70" s="36"/>
      <c r="O70" s="43">
        <f t="shared" si="26"/>
        <v>0</v>
      </c>
      <c r="P70" s="251">
        <f t="shared" si="4"/>
        <v>0</v>
      </c>
      <c r="Q70" s="230"/>
      <c r="R70" s="43">
        <f t="shared" si="9"/>
        <v>0</v>
      </c>
      <c r="S70" s="200"/>
      <c r="T70" s="266"/>
      <c r="U70" s="210">
        <f t="shared" si="6"/>
        <v>0</v>
      </c>
      <c r="V70" s="36">
        <f t="shared" si="5"/>
        <v>0</v>
      </c>
      <c r="W70" s="36">
        <f t="shared" si="24"/>
        <v>0</v>
      </c>
      <c r="X70" s="230">
        <f t="shared" si="30"/>
        <v>0</v>
      </c>
      <c r="Y70" s="43">
        <f t="shared" si="30"/>
        <v>0</v>
      </c>
      <c r="Z70" s="47"/>
      <c r="AA70" s="47"/>
    </row>
    <row r="71" spans="1:27" s="117" customFormat="1" ht="9.9499999999999993" hidden="1" customHeight="1" x14ac:dyDescent="0.15">
      <c r="A71" s="144"/>
      <c r="B71" s="215"/>
      <c r="C71" s="145">
        <f t="shared" si="19"/>
        <v>0</v>
      </c>
      <c r="D71" s="41">
        <f t="shared" si="20"/>
        <v>0</v>
      </c>
      <c r="E71" s="274"/>
      <c r="F71" s="196">
        <f t="shared" si="16"/>
        <v>0</v>
      </c>
      <c r="G71" s="191">
        <f t="shared" si="13"/>
        <v>0</v>
      </c>
      <c r="H71" s="246">
        <f t="shared" si="2"/>
        <v>0</v>
      </c>
      <c r="I71" s="200">
        <f t="shared" si="17"/>
        <v>0</v>
      </c>
      <c r="J71" s="230">
        <f t="shared" si="34"/>
        <v>0</v>
      </c>
      <c r="K71" s="43">
        <f t="shared" si="21"/>
        <v>0</v>
      </c>
      <c r="L71" s="200"/>
      <c r="M71" s="196">
        <f t="shared" si="8"/>
        <v>0</v>
      </c>
      <c r="N71" s="36"/>
      <c r="O71" s="43">
        <f t="shared" si="26"/>
        <v>0</v>
      </c>
      <c r="P71" s="251">
        <f t="shared" si="4"/>
        <v>0</v>
      </c>
      <c r="Q71" s="230">
        <v>0</v>
      </c>
      <c r="R71" s="43">
        <f t="shared" si="9"/>
        <v>0</v>
      </c>
      <c r="S71" s="200"/>
      <c r="T71" s="266"/>
      <c r="U71" s="210">
        <f t="shared" si="6"/>
        <v>0</v>
      </c>
      <c r="V71" s="36">
        <f t="shared" si="5"/>
        <v>0</v>
      </c>
      <c r="W71" s="36">
        <f t="shared" si="24"/>
        <v>0</v>
      </c>
      <c r="X71" s="230">
        <f t="shared" si="30"/>
        <v>0</v>
      </c>
      <c r="Y71" s="43">
        <f t="shared" si="30"/>
        <v>0</v>
      </c>
      <c r="Z71" s="47"/>
      <c r="AA71" s="47"/>
    </row>
    <row r="72" spans="1:27" s="117" customFormat="1" ht="9.9499999999999993" hidden="1" customHeight="1" x14ac:dyDescent="0.15">
      <c r="A72" s="144"/>
      <c r="B72" s="215"/>
      <c r="C72" s="145">
        <f t="shared" si="19"/>
        <v>0</v>
      </c>
      <c r="D72" s="41">
        <f t="shared" si="20"/>
        <v>0</v>
      </c>
      <c r="E72" s="274"/>
      <c r="F72" s="195">
        <f t="shared" si="16"/>
        <v>0</v>
      </c>
      <c r="G72" s="191">
        <f t="shared" si="13"/>
        <v>0</v>
      </c>
      <c r="H72" s="246">
        <f t="shared" si="2"/>
        <v>0</v>
      </c>
      <c r="I72" s="200">
        <f t="shared" si="17"/>
        <v>0</v>
      </c>
      <c r="J72" s="230">
        <f t="shared" si="34"/>
        <v>0</v>
      </c>
      <c r="K72" s="43">
        <f t="shared" si="21"/>
        <v>0</v>
      </c>
      <c r="L72" s="200"/>
      <c r="M72" s="196">
        <f t="shared" si="8"/>
        <v>0</v>
      </c>
      <c r="N72" s="36"/>
      <c r="O72" s="43">
        <f t="shared" si="26"/>
        <v>0</v>
      </c>
      <c r="P72" s="251">
        <f t="shared" si="4"/>
        <v>0</v>
      </c>
      <c r="Q72" s="230">
        <v>0</v>
      </c>
      <c r="R72" s="43">
        <f t="shared" si="9"/>
        <v>0</v>
      </c>
      <c r="S72" s="200"/>
      <c r="T72" s="266"/>
      <c r="U72" s="210">
        <f t="shared" si="6"/>
        <v>0</v>
      </c>
      <c r="V72" s="36">
        <f t="shared" si="5"/>
        <v>0</v>
      </c>
      <c r="W72" s="36">
        <f t="shared" si="24"/>
        <v>0</v>
      </c>
      <c r="X72" s="230">
        <f t="shared" si="30"/>
        <v>0</v>
      </c>
      <c r="Y72" s="43">
        <f t="shared" si="30"/>
        <v>0</v>
      </c>
      <c r="Z72" s="47"/>
      <c r="AA72" s="47"/>
    </row>
    <row r="73" spans="1:27" s="118" customFormat="1" ht="9.9499999999999993" customHeight="1" x14ac:dyDescent="0.15">
      <c r="A73" s="142" t="s">
        <v>285</v>
      </c>
      <c r="B73" s="212">
        <f>SUM(B74:B76)</f>
        <v>1</v>
      </c>
      <c r="C73" s="140">
        <f t="shared" si="19"/>
        <v>330.26141992366411</v>
      </c>
      <c r="D73" s="41">
        <f t="shared" si="20"/>
        <v>330261.41992366413</v>
      </c>
      <c r="E73" s="247">
        <f>SUM(E74:E76)</f>
        <v>59707.21</v>
      </c>
      <c r="F73" s="195">
        <f t="shared" si="16"/>
        <v>310.44150000000002</v>
      </c>
      <c r="G73" s="191">
        <f t="shared" si="13"/>
        <v>310441.5</v>
      </c>
      <c r="H73" s="246">
        <f t="shared" si="2"/>
        <v>527883</v>
      </c>
      <c r="I73" s="198">
        <f>I74</f>
        <v>93000</v>
      </c>
      <c r="J73" s="231">
        <f>J75+J74</f>
        <v>620.88300000000004</v>
      </c>
      <c r="K73" s="41">
        <f t="shared" si="21"/>
        <v>620.88300000000004</v>
      </c>
      <c r="L73" s="198">
        <f>SUM(L74:L76)</f>
        <v>620883</v>
      </c>
      <c r="M73" s="195">
        <f t="shared" si="8"/>
        <v>0</v>
      </c>
      <c r="N73" s="33">
        <f>N75+N76</f>
        <v>0</v>
      </c>
      <c r="O73" s="41">
        <f t="shared" si="26"/>
        <v>0</v>
      </c>
      <c r="P73" s="251">
        <f t="shared" si="4"/>
        <v>0</v>
      </c>
      <c r="Q73" s="231">
        <v>0</v>
      </c>
      <c r="R73" s="41">
        <f t="shared" si="9"/>
        <v>0</v>
      </c>
      <c r="S73" s="198">
        <f>SUM(S74:S76)</f>
        <v>0</v>
      </c>
      <c r="T73" s="265">
        <f>T75</f>
        <v>0</v>
      </c>
      <c r="U73" s="210">
        <f>SUM(U74)</f>
        <v>270554.20992366411</v>
      </c>
      <c r="V73" s="33">
        <f>C73+M73</f>
        <v>330.26141992366411</v>
      </c>
      <c r="W73" s="33">
        <f>F73+O73</f>
        <v>310.44150000000002</v>
      </c>
      <c r="X73" s="231">
        <f t="shared" si="30"/>
        <v>620.88300000000004</v>
      </c>
      <c r="Y73" s="41">
        <f t="shared" si="30"/>
        <v>620.88300000000004</v>
      </c>
      <c r="Z73" s="47"/>
      <c r="AA73" s="47"/>
    </row>
    <row r="74" spans="1:27" s="118" customFormat="1" ht="9.9499999999999993" customHeight="1" x14ac:dyDescent="0.15">
      <c r="A74" s="144" t="s">
        <v>286</v>
      </c>
      <c r="B74" s="215">
        <v>1</v>
      </c>
      <c r="C74" s="145">
        <f t="shared" si="19"/>
        <v>330.26141992366411</v>
      </c>
      <c r="D74" s="43">
        <f t="shared" si="20"/>
        <v>330261.41992366413</v>
      </c>
      <c r="E74" s="194">
        <v>59707.21</v>
      </c>
      <c r="F74" s="196">
        <f t="shared" si="16"/>
        <v>310.44150000000002</v>
      </c>
      <c r="G74" s="191">
        <f t="shared" si="13"/>
        <v>310441.5</v>
      </c>
      <c r="H74" s="246">
        <f t="shared" ref="H74:H137" si="35">L74-I74</f>
        <v>527883</v>
      </c>
      <c r="I74" s="200">
        <f>L74-527883</f>
        <v>93000</v>
      </c>
      <c r="J74" s="230">
        <f>K74</f>
        <v>620.88300000000004</v>
      </c>
      <c r="K74" s="43">
        <f t="shared" si="21"/>
        <v>620.88300000000004</v>
      </c>
      <c r="L74" s="200">
        <v>620883</v>
      </c>
      <c r="M74" s="196">
        <f t="shared" si="8"/>
        <v>0</v>
      </c>
      <c r="N74" s="36"/>
      <c r="O74" s="43">
        <f t="shared" si="26"/>
        <v>0</v>
      </c>
      <c r="P74" s="251">
        <f t="shared" ref="P74:P137" si="36">S74/2</f>
        <v>0</v>
      </c>
      <c r="Q74" s="230">
        <f>R74</f>
        <v>0</v>
      </c>
      <c r="R74" s="43">
        <f t="shared" si="9"/>
        <v>0</v>
      </c>
      <c r="S74" s="198"/>
      <c r="T74" s="265"/>
      <c r="U74" s="227">
        <f t="shared" si="6"/>
        <v>270554.20992366411</v>
      </c>
      <c r="V74" s="36">
        <f>C74+M74</f>
        <v>330.26141992366411</v>
      </c>
      <c r="W74" s="36">
        <f>F74+O74</f>
        <v>310.44150000000002</v>
      </c>
      <c r="X74" s="230">
        <f t="shared" si="30"/>
        <v>620.88300000000004</v>
      </c>
      <c r="Y74" s="43">
        <f t="shared" si="30"/>
        <v>620.88300000000004</v>
      </c>
      <c r="Z74" s="47"/>
      <c r="AA74" s="47"/>
    </row>
    <row r="75" spans="1:27" s="117" customFormat="1" ht="9.9499999999999993" hidden="1" customHeight="1" x14ac:dyDescent="0.15">
      <c r="A75" s="144">
        <v>0</v>
      </c>
      <c r="B75" s="215">
        <v>0</v>
      </c>
      <c r="C75" s="145">
        <f t="shared" si="19"/>
        <v>0</v>
      </c>
      <c r="D75" s="41">
        <f t="shared" si="20"/>
        <v>0</v>
      </c>
      <c r="E75" s="194"/>
      <c r="F75" s="195">
        <f t="shared" si="16"/>
        <v>0</v>
      </c>
      <c r="G75" s="191">
        <f t="shared" si="13"/>
        <v>0</v>
      </c>
      <c r="H75" s="246">
        <f t="shared" si="35"/>
        <v>0</v>
      </c>
      <c r="I75" s="200">
        <f t="shared" si="17"/>
        <v>0</v>
      </c>
      <c r="J75" s="230"/>
      <c r="K75" s="43">
        <f t="shared" si="21"/>
        <v>0</v>
      </c>
      <c r="L75" s="200"/>
      <c r="M75" s="196">
        <f t="shared" si="8"/>
        <v>0</v>
      </c>
      <c r="N75" s="36"/>
      <c r="O75" s="41">
        <f t="shared" si="26"/>
        <v>0</v>
      </c>
      <c r="P75" s="251">
        <f t="shared" si="36"/>
        <v>0</v>
      </c>
      <c r="Q75" s="230">
        <v>0</v>
      </c>
      <c r="R75" s="43">
        <f t="shared" si="9"/>
        <v>0</v>
      </c>
      <c r="S75" s="200"/>
      <c r="T75" s="266"/>
      <c r="U75" s="210">
        <f t="shared" si="6"/>
        <v>0</v>
      </c>
      <c r="V75" s="36">
        <f t="shared" ref="V75:V102" si="37">C75+M75</f>
        <v>0</v>
      </c>
      <c r="W75" s="36">
        <f>F75+O75</f>
        <v>0</v>
      </c>
      <c r="X75" s="231">
        <f t="shared" si="30"/>
        <v>0</v>
      </c>
      <c r="Y75" s="43">
        <f t="shared" si="30"/>
        <v>0</v>
      </c>
      <c r="Z75" s="47"/>
      <c r="AA75" s="47"/>
    </row>
    <row r="76" spans="1:27" s="117" customFormat="1" ht="9.9499999999999993" hidden="1" customHeight="1" x14ac:dyDescent="0.15">
      <c r="A76" s="144"/>
      <c r="B76" s="215"/>
      <c r="C76" s="145">
        <f t="shared" si="19"/>
        <v>0</v>
      </c>
      <c r="D76" s="41">
        <f t="shared" si="20"/>
        <v>0</v>
      </c>
      <c r="E76" s="194"/>
      <c r="F76" s="195">
        <f t="shared" si="16"/>
        <v>0</v>
      </c>
      <c r="G76" s="191">
        <f t="shared" si="13"/>
        <v>0</v>
      </c>
      <c r="H76" s="246">
        <f t="shared" si="35"/>
        <v>0</v>
      </c>
      <c r="I76" s="200">
        <f t="shared" si="17"/>
        <v>0</v>
      </c>
      <c r="J76" s="230"/>
      <c r="K76" s="41">
        <f t="shared" si="21"/>
        <v>0</v>
      </c>
      <c r="L76" s="200"/>
      <c r="M76" s="195">
        <f t="shared" si="8"/>
        <v>0</v>
      </c>
      <c r="N76" s="36"/>
      <c r="O76" s="41">
        <f t="shared" si="26"/>
        <v>0</v>
      </c>
      <c r="P76" s="251">
        <f t="shared" si="36"/>
        <v>0</v>
      </c>
      <c r="Q76" s="230">
        <v>0</v>
      </c>
      <c r="R76" s="43">
        <f t="shared" ref="R76:R102" si="38">S76/1000*-1</f>
        <v>0</v>
      </c>
      <c r="S76" s="200"/>
      <c r="T76" s="266"/>
      <c r="U76" s="210">
        <f t="shared" si="6"/>
        <v>0</v>
      </c>
      <c r="V76" s="36">
        <f t="shared" si="37"/>
        <v>0</v>
      </c>
      <c r="W76" s="36">
        <f>F76+O76</f>
        <v>0</v>
      </c>
      <c r="X76" s="231">
        <f t="shared" si="30"/>
        <v>0</v>
      </c>
      <c r="Y76" s="43">
        <f t="shared" si="30"/>
        <v>0</v>
      </c>
      <c r="Z76" s="47"/>
      <c r="AA76" s="47"/>
    </row>
    <row r="77" spans="1:27" s="118" customFormat="1" ht="9.9499999999999993" customHeight="1" x14ac:dyDescent="0.15">
      <c r="A77" s="142" t="s">
        <v>287</v>
      </c>
      <c r="B77" s="212">
        <f>SUM(B78:B81)</f>
        <v>2.2999999999999998</v>
      </c>
      <c r="C77" s="140">
        <f t="shared" si="19"/>
        <v>1522.2959628244275</v>
      </c>
      <c r="D77" s="41">
        <f t="shared" si="20"/>
        <v>1522295.9628244275</v>
      </c>
      <c r="E77" s="247">
        <f>SUM(E78:E81)</f>
        <v>900021.28</v>
      </c>
      <c r="F77" s="195">
        <f t="shared" si="16"/>
        <v>892.06550000000004</v>
      </c>
      <c r="G77" s="191">
        <f t="shared" ref="G77:G140" si="39">L77/2</f>
        <v>892065.5</v>
      </c>
      <c r="H77" s="246">
        <f t="shared" si="35"/>
        <v>1214131</v>
      </c>
      <c r="I77" s="198">
        <f>SUM(I78:I81)</f>
        <v>570000</v>
      </c>
      <c r="J77" s="231">
        <f>SUM(J78:J81)</f>
        <v>1784.1310000000001</v>
      </c>
      <c r="K77" s="41">
        <f t="shared" si="21"/>
        <v>1784.1310000000001</v>
      </c>
      <c r="L77" s="198">
        <f>SUM(L78:L81)</f>
        <v>1784131</v>
      </c>
      <c r="M77" s="195">
        <f t="shared" si="8"/>
        <v>-184.4</v>
      </c>
      <c r="N77" s="33">
        <f>N79+N80</f>
        <v>0</v>
      </c>
      <c r="O77" s="41">
        <f t="shared" si="26"/>
        <v>-420</v>
      </c>
      <c r="P77" s="251">
        <f t="shared" si="36"/>
        <v>420000</v>
      </c>
      <c r="Q77" s="231">
        <f>SUM(Q78:Q81)</f>
        <v>-840</v>
      </c>
      <c r="R77" s="41">
        <f t="shared" si="38"/>
        <v>-840</v>
      </c>
      <c r="S77" s="198">
        <f>S79+S80+S81</f>
        <v>840000</v>
      </c>
      <c r="T77" s="265">
        <f>SUM(T78:T81)</f>
        <v>184400</v>
      </c>
      <c r="U77" s="210">
        <f>SUM(U78:U81)</f>
        <v>622274.68282442749</v>
      </c>
      <c r="V77" s="33">
        <f t="shared" si="37"/>
        <v>1337.8959628244274</v>
      </c>
      <c r="W77" s="33">
        <f>F77+O77</f>
        <v>472.06550000000004</v>
      </c>
      <c r="X77" s="231">
        <f t="shared" si="30"/>
        <v>944.13100000000009</v>
      </c>
      <c r="Y77" s="41">
        <f t="shared" si="30"/>
        <v>944.13100000000009</v>
      </c>
      <c r="Z77" s="47"/>
      <c r="AA77" s="47"/>
    </row>
    <row r="78" spans="1:27" s="118" customFormat="1" ht="9.9499999999999993" customHeight="1" x14ac:dyDescent="0.15">
      <c r="A78" s="144" t="s">
        <v>288</v>
      </c>
      <c r="B78" s="215">
        <v>0.2</v>
      </c>
      <c r="C78" s="145">
        <f>D78/1000</f>
        <v>54.110841984732829</v>
      </c>
      <c r="D78" s="191">
        <f t="shared" si="20"/>
        <v>54110.841984732826</v>
      </c>
      <c r="E78" s="273"/>
      <c r="F78" s="196">
        <f t="shared" si="16"/>
        <v>52.788499999999999</v>
      </c>
      <c r="G78" s="191">
        <f t="shared" si="39"/>
        <v>52788.5</v>
      </c>
      <c r="H78" s="246">
        <f t="shared" si="35"/>
        <v>105577</v>
      </c>
      <c r="I78" s="200">
        <f>L78-105577</f>
        <v>0</v>
      </c>
      <c r="J78" s="230">
        <f>K78</f>
        <v>105.577</v>
      </c>
      <c r="K78" s="43">
        <f t="shared" si="21"/>
        <v>105.577</v>
      </c>
      <c r="L78" s="200">
        <v>105577</v>
      </c>
      <c r="M78" s="196">
        <f t="shared" si="8"/>
        <v>0</v>
      </c>
      <c r="N78" s="33"/>
      <c r="O78" s="43">
        <f t="shared" si="26"/>
        <v>0</v>
      </c>
      <c r="P78" s="251">
        <f t="shared" si="36"/>
        <v>0</v>
      </c>
      <c r="Q78" s="230">
        <f>R78</f>
        <v>0</v>
      </c>
      <c r="R78" s="43">
        <f t="shared" si="38"/>
        <v>0</v>
      </c>
      <c r="S78" s="198"/>
      <c r="T78" s="265"/>
      <c r="U78" s="227">
        <f t="shared" si="6"/>
        <v>54110.841984732826</v>
      </c>
      <c r="V78" s="36">
        <f t="shared" si="37"/>
        <v>54.110841984732829</v>
      </c>
      <c r="W78" s="36">
        <f t="shared" ref="W78:W102" si="40">F78+O78</f>
        <v>52.788499999999999</v>
      </c>
      <c r="X78" s="230">
        <f t="shared" si="30"/>
        <v>105.577</v>
      </c>
      <c r="Y78" s="43">
        <f t="shared" si="30"/>
        <v>105.577</v>
      </c>
      <c r="Z78" s="47"/>
      <c r="AA78" s="47"/>
    </row>
    <row r="79" spans="1:27" s="117" customFormat="1" ht="9.9499999999999993" customHeight="1" x14ac:dyDescent="0.15">
      <c r="A79" s="144" t="s">
        <v>289</v>
      </c>
      <c r="B79" s="215">
        <v>1</v>
      </c>
      <c r="C79" s="145">
        <f t="shared" si="19"/>
        <v>272.51534992366413</v>
      </c>
      <c r="D79" s="191">
        <f t="shared" si="20"/>
        <v>272515.34992366412</v>
      </c>
      <c r="E79" s="274">
        <v>1961.14</v>
      </c>
      <c r="F79" s="196">
        <f t="shared" si="16"/>
        <v>298.94150000000002</v>
      </c>
      <c r="G79" s="191">
        <f t="shared" si="39"/>
        <v>298941.5</v>
      </c>
      <c r="H79" s="246">
        <f t="shared" si="35"/>
        <v>527883</v>
      </c>
      <c r="I79" s="200">
        <f>L79-527883</f>
        <v>70000</v>
      </c>
      <c r="J79" s="230">
        <f t="shared" ref="J79:J81" si="41">K79</f>
        <v>597.88300000000004</v>
      </c>
      <c r="K79" s="43">
        <f t="shared" si="21"/>
        <v>597.88300000000004</v>
      </c>
      <c r="L79" s="200">
        <v>597883</v>
      </c>
      <c r="M79" s="196">
        <f t="shared" si="8"/>
        <v>-78.400000000000006</v>
      </c>
      <c r="N79" s="36"/>
      <c r="O79" s="43">
        <f t="shared" si="26"/>
        <v>-110</v>
      </c>
      <c r="P79" s="251">
        <f t="shared" si="36"/>
        <v>110000</v>
      </c>
      <c r="Q79" s="230">
        <f t="shared" ref="Q79:Q81" si="42">R79</f>
        <v>-220</v>
      </c>
      <c r="R79" s="43">
        <f t="shared" si="38"/>
        <v>-220</v>
      </c>
      <c r="S79" s="200">
        <v>220000</v>
      </c>
      <c r="T79" s="266">
        <f>55000+23400</f>
        <v>78400</v>
      </c>
      <c r="U79" s="227">
        <f t="shared" si="6"/>
        <v>270554.20992366411</v>
      </c>
      <c r="V79" s="36">
        <f t="shared" si="37"/>
        <v>194.11534992366413</v>
      </c>
      <c r="W79" s="36">
        <f t="shared" si="40"/>
        <v>188.94150000000002</v>
      </c>
      <c r="X79" s="230">
        <f t="shared" si="30"/>
        <v>377.88300000000004</v>
      </c>
      <c r="Y79" s="43">
        <f t="shared" si="30"/>
        <v>377.88300000000004</v>
      </c>
      <c r="Z79" s="47"/>
      <c r="AA79" s="47"/>
    </row>
    <row r="80" spans="1:27" s="117" customFormat="1" ht="9.9499999999999993" customHeight="1" x14ac:dyDescent="0.15">
      <c r="A80" s="144" t="s">
        <v>290</v>
      </c>
      <c r="B80" s="215">
        <v>0.6</v>
      </c>
      <c r="C80" s="145">
        <f t="shared" si="19"/>
        <v>167.45618595419847</v>
      </c>
      <c r="D80" s="191">
        <f t="shared" si="20"/>
        <v>167456.18595419847</v>
      </c>
      <c r="E80" s="274">
        <v>5123.66</v>
      </c>
      <c r="F80" s="196">
        <f t="shared" si="16"/>
        <v>158.36500000000001</v>
      </c>
      <c r="G80" s="191">
        <f t="shared" si="39"/>
        <v>158365</v>
      </c>
      <c r="H80" s="246">
        <f t="shared" si="35"/>
        <v>316730</v>
      </c>
      <c r="I80" s="200">
        <f>L80-316730</f>
        <v>0</v>
      </c>
      <c r="J80" s="230">
        <f t="shared" si="41"/>
        <v>316.73</v>
      </c>
      <c r="K80" s="43">
        <f t="shared" si="21"/>
        <v>316.73</v>
      </c>
      <c r="L80" s="200">
        <v>316730</v>
      </c>
      <c r="M80" s="196">
        <f t="shared" si="8"/>
        <v>0</v>
      </c>
      <c r="N80" s="36"/>
      <c r="O80" s="43">
        <f t="shared" si="26"/>
        <v>-60</v>
      </c>
      <c r="P80" s="251">
        <f t="shared" si="36"/>
        <v>60000</v>
      </c>
      <c r="Q80" s="230">
        <f t="shared" si="42"/>
        <v>-120</v>
      </c>
      <c r="R80" s="43">
        <f t="shared" si="38"/>
        <v>-120</v>
      </c>
      <c r="S80" s="200">
        <v>120000</v>
      </c>
      <c r="T80" s="266"/>
      <c r="U80" s="227">
        <f t="shared" si="6"/>
        <v>162332.52595419847</v>
      </c>
      <c r="V80" s="36">
        <f t="shared" si="37"/>
        <v>167.45618595419847</v>
      </c>
      <c r="W80" s="36">
        <f t="shared" si="40"/>
        <v>98.365000000000009</v>
      </c>
      <c r="X80" s="230">
        <f t="shared" si="30"/>
        <v>196.73000000000002</v>
      </c>
      <c r="Y80" s="43">
        <f t="shared" si="30"/>
        <v>196.73000000000002</v>
      </c>
      <c r="Z80" s="47"/>
      <c r="AA80" s="47"/>
    </row>
    <row r="81" spans="1:27" s="117" customFormat="1" ht="9.9499999999999993" customHeight="1" x14ac:dyDescent="0.15">
      <c r="A81" s="144" t="s">
        <v>291</v>
      </c>
      <c r="B81" s="215">
        <v>0.5</v>
      </c>
      <c r="C81" s="145">
        <f t="shared" si="19"/>
        <v>1028.2135849618321</v>
      </c>
      <c r="D81" s="191">
        <f t="shared" si="20"/>
        <v>1028213.584961832</v>
      </c>
      <c r="E81" s="274">
        <v>892936.48</v>
      </c>
      <c r="F81" s="196">
        <f t="shared" si="16"/>
        <v>381.97050000000002</v>
      </c>
      <c r="G81" s="191">
        <f t="shared" si="39"/>
        <v>381970.5</v>
      </c>
      <c r="H81" s="246">
        <f t="shared" si="35"/>
        <v>263941</v>
      </c>
      <c r="I81" s="200">
        <f>L81-263941</f>
        <v>500000</v>
      </c>
      <c r="J81" s="230">
        <f t="shared" si="41"/>
        <v>763.94100000000003</v>
      </c>
      <c r="K81" s="43">
        <f t="shared" si="21"/>
        <v>763.94100000000003</v>
      </c>
      <c r="L81" s="200">
        <v>763941</v>
      </c>
      <c r="M81" s="196">
        <f t="shared" si="8"/>
        <v>-106</v>
      </c>
      <c r="N81" s="36"/>
      <c r="O81" s="43">
        <f t="shared" si="26"/>
        <v>-250</v>
      </c>
      <c r="P81" s="251">
        <f t="shared" si="36"/>
        <v>250000</v>
      </c>
      <c r="Q81" s="230">
        <f t="shared" si="42"/>
        <v>-500</v>
      </c>
      <c r="R81" s="43">
        <f t="shared" si="38"/>
        <v>-500</v>
      </c>
      <c r="S81" s="200">
        <v>500000</v>
      </c>
      <c r="T81" s="266">
        <v>106000</v>
      </c>
      <c r="U81" s="227">
        <f t="shared" si="6"/>
        <v>135277.10496183205</v>
      </c>
      <c r="V81" s="36">
        <f t="shared" si="37"/>
        <v>922.21358496183211</v>
      </c>
      <c r="W81" s="36">
        <f t="shared" si="40"/>
        <v>131.97050000000002</v>
      </c>
      <c r="X81" s="230">
        <f t="shared" si="30"/>
        <v>263.94100000000003</v>
      </c>
      <c r="Y81" s="43">
        <f t="shared" si="30"/>
        <v>263.94100000000003</v>
      </c>
      <c r="Z81" s="47"/>
      <c r="AA81" s="47"/>
    </row>
    <row r="82" spans="1:27" s="118" customFormat="1" ht="9.9499999999999993" customHeight="1" x14ac:dyDescent="0.15">
      <c r="A82" s="142" t="s">
        <v>292</v>
      </c>
      <c r="B82" s="212">
        <f>SUM(B83:B97)</f>
        <v>4.01</v>
      </c>
      <c r="C82" s="140">
        <f t="shared" si="19"/>
        <v>1647.6537017938933</v>
      </c>
      <c r="D82" s="41">
        <f>E82+U82</f>
        <v>1647653.7017938932</v>
      </c>
      <c r="E82" s="247">
        <f>SUM(E83:E97)</f>
        <v>562731.32000000007</v>
      </c>
      <c r="F82" s="195">
        <f t="shared" ref="F82:F149" si="43">G82/1000</f>
        <v>2062.6554999999998</v>
      </c>
      <c r="G82" s="191">
        <f t="shared" si="39"/>
        <v>2062655.5</v>
      </c>
      <c r="H82" s="246">
        <f t="shared" si="35"/>
        <v>2116811</v>
      </c>
      <c r="I82" s="198">
        <f>SUM(I83:I90)</f>
        <v>2008500</v>
      </c>
      <c r="J82" s="231">
        <f>SUM(J83:J90)</f>
        <v>4125.3110000000006</v>
      </c>
      <c r="K82" s="41">
        <f t="shared" si="21"/>
        <v>4125.3109999999997</v>
      </c>
      <c r="L82" s="198">
        <f>SUM(L83:L97)</f>
        <v>4125311</v>
      </c>
      <c r="M82" s="195">
        <f>T82/1000*-1</f>
        <v>-329.38099999999997</v>
      </c>
      <c r="N82" s="33">
        <f>SUM(N83:N97)</f>
        <v>0</v>
      </c>
      <c r="O82" s="41">
        <f t="shared" si="26"/>
        <v>-1029.5</v>
      </c>
      <c r="P82" s="251">
        <f t="shared" si="36"/>
        <v>1029500</v>
      </c>
      <c r="Q82" s="231">
        <f>SUM(Q83:Q90)</f>
        <v>-2059</v>
      </c>
      <c r="R82" s="41">
        <f t="shared" si="38"/>
        <v>-2059</v>
      </c>
      <c r="S82" s="198">
        <f>SUM(S83:S97)</f>
        <v>2059000</v>
      </c>
      <c r="T82" s="265">
        <f>SUM(T83:T89)</f>
        <v>329381</v>
      </c>
      <c r="U82" s="210">
        <f>SUM(U83:U90)</f>
        <v>1084922.3817938932</v>
      </c>
      <c r="V82" s="33">
        <f t="shared" si="37"/>
        <v>1318.2727017938932</v>
      </c>
      <c r="W82" s="33">
        <f t="shared" si="40"/>
        <v>1033.1554999999998</v>
      </c>
      <c r="X82" s="231">
        <f t="shared" si="30"/>
        <v>2066.3110000000006</v>
      </c>
      <c r="Y82" s="41">
        <f t="shared" si="30"/>
        <v>2066.3109999999997</v>
      </c>
      <c r="Z82" s="47"/>
      <c r="AA82" s="47"/>
    </row>
    <row r="83" spans="1:27" s="117" customFormat="1" ht="9.9499999999999993" customHeight="1" x14ac:dyDescent="0.15">
      <c r="A83" s="144" t="s">
        <v>293</v>
      </c>
      <c r="B83" s="215">
        <v>0.81</v>
      </c>
      <c r="C83" s="145">
        <f t="shared" si="19"/>
        <v>272.84445003816796</v>
      </c>
      <c r="D83" s="191">
        <f t="shared" si="20"/>
        <v>272844.45003816794</v>
      </c>
      <c r="E83" s="274">
        <v>53695.54</v>
      </c>
      <c r="F83" s="196">
        <f t="shared" si="43"/>
        <v>269.79250000000002</v>
      </c>
      <c r="G83" s="191">
        <f t="shared" si="39"/>
        <v>269792.5</v>
      </c>
      <c r="H83" s="246">
        <f t="shared" si="35"/>
        <v>427585</v>
      </c>
      <c r="I83" s="200">
        <f>L83-427585</f>
        <v>112000</v>
      </c>
      <c r="J83" s="230">
        <f>K83</f>
        <v>539.58500000000004</v>
      </c>
      <c r="K83" s="43">
        <f t="shared" si="21"/>
        <v>539.58500000000004</v>
      </c>
      <c r="L83" s="200">
        <v>539585</v>
      </c>
      <c r="M83" s="196">
        <f>T83/1000*-1</f>
        <v>-2</v>
      </c>
      <c r="N83" s="36"/>
      <c r="O83" s="43">
        <f t="shared" si="26"/>
        <v>-75</v>
      </c>
      <c r="P83" s="251">
        <f t="shared" si="36"/>
        <v>75000</v>
      </c>
      <c r="Q83" s="230">
        <f>R83</f>
        <v>-150</v>
      </c>
      <c r="R83" s="43">
        <f t="shared" si="38"/>
        <v>-150</v>
      </c>
      <c r="S83" s="200">
        <v>150000</v>
      </c>
      <c r="T83" s="266">
        <v>2000</v>
      </c>
      <c r="U83" s="227">
        <f t="shared" ref="U83:U149" si="44">$U$8/$B$8*B83</f>
        <v>219148.91003816793</v>
      </c>
      <c r="V83" s="36">
        <f t="shared" si="37"/>
        <v>270.84445003816796</v>
      </c>
      <c r="W83" s="36">
        <f t="shared" si="40"/>
        <v>194.79250000000002</v>
      </c>
      <c r="X83" s="230">
        <f t="shared" si="30"/>
        <v>389.58500000000004</v>
      </c>
      <c r="Y83" s="43">
        <f t="shared" si="30"/>
        <v>389.58500000000004</v>
      </c>
      <c r="Z83" s="47"/>
      <c r="AA83" s="47"/>
    </row>
    <row r="84" spans="1:27" s="117" customFormat="1" ht="9.9499999999999993" customHeight="1" x14ac:dyDescent="0.15">
      <c r="A84" s="144" t="s">
        <v>294</v>
      </c>
      <c r="B84" s="215">
        <v>1</v>
      </c>
      <c r="C84" s="145">
        <f t="shared" si="19"/>
        <v>273.43911992366407</v>
      </c>
      <c r="D84" s="191">
        <f t="shared" si="20"/>
        <v>273439.11992366408</v>
      </c>
      <c r="E84" s="274">
        <v>2884.91</v>
      </c>
      <c r="F84" s="196">
        <f t="shared" si="43"/>
        <v>381.44150000000002</v>
      </c>
      <c r="G84" s="191">
        <f t="shared" si="39"/>
        <v>381441.5</v>
      </c>
      <c r="H84" s="246">
        <f t="shared" si="35"/>
        <v>527883</v>
      </c>
      <c r="I84" s="200">
        <f>L84-527883</f>
        <v>235000</v>
      </c>
      <c r="J84" s="230">
        <f t="shared" ref="J84:J90" si="45">K84</f>
        <v>762.88300000000004</v>
      </c>
      <c r="K84" s="43">
        <f t="shared" si="21"/>
        <v>762.88300000000004</v>
      </c>
      <c r="L84" s="200">
        <v>762883</v>
      </c>
      <c r="M84" s="196">
        <f>T84/1000*-1</f>
        <v>0</v>
      </c>
      <c r="N84" s="36"/>
      <c r="O84" s="43">
        <f t="shared" si="26"/>
        <v>-150</v>
      </c>
      <c r="P84" s="251">
        <f t="shared" si="36"/>
        <v>150000</v>
      </c>
      <c r="Q84" s="230">
        <f t="shared" ref="Q84:Q90" si="46">R84</f>
        <v>-300</v>
      </c>
      <c r="R84" s="43">
        <f t="shared" si="38"/>
        <v>-300</v>
      </c>
      <c r="S84" s="200">
        <v>300000</v>
      </c>
      <c r="T84" s="266"/>
      <c r="U84" s="227">
        <f t="shared" si="44"/>
        <v>270554.20992366411</v>
      </c>
      <c r="V84" s="36">
        <f t="shared" si="37"/>
        <v>273.43911992366407</v>
      </c>
      <c r="W84" s="36">
        <f t="shared" si="40"/>
        <v>231.44150000000002</v>
      </c>
      <c r="X84" s="230">
        <f t="shared" ref="X84:Y102" si="47">J84+Q84</f>
        <v>462.88300000000004</v>
      </c>
      <c r="Y84" s="43">
        <f t="shared" si="47"/>
        <v>462.88300000000004</v>
      </c>
      <c r="Z84" s="47"/>
      <c r="AA84" s="47"/>
    </row>
    <row r="85" spans="1:27" s="117" customFormat="1" ht="9.9499999999999993" customHeight="1" x14ac:dyDescent="0.15">
      <c r="A85" s="144" t="s">
        <v>295</v>
      </c>
      <c r="B85" s="215">
        <v>0.3</v>
      </c>
      <c r="C85" s="145">
        <f t="shared" si="19"/>
        <v>82.796962977099227</v>
      </c>
      <c r="D85" s="191">
        <f t="shared" si="20"/>
        <v>82796.962977099232</v>
      </c>
      <c r="E85" s="274">
        <v>1630.7</v>
      </c>
      <c r="F85" s="196">
        <f t="shared" si="43"/>
        <v>118.1825</v>
      </c>
      <c r="G85" s="191">
        <f t="shared" si="39"/>
        <v>118182.5</v>
      </c>
      <c r="H85" s="246">
        <f t="shared" si="35"/>
        <v>158365</v>
      </c>
      <c r="I85" s="200">
        <f>L85-158365</f>
        <v>78000</v>
      </c>
      <c r="J85" s="230">
        <f t="shared" si="45"/>
        <v>236.36500000000001</v>
      </c>
      <c r="K85" s="43">
        <f t="shared" si="21"/>
        <v>236.36500000000001</v>
      </c>
      <c r="L85" s="200">
        <v>236365</v>
      </c>
      <c r="M85" s="196">
        <f>T85/1000*-1</f>
        <v>0</v>
      </c>
      <c r="N85" s="36"/>
      <c r="O85" s="43">
        <f t="shared" si="26"/>
        <v>-50</v>
      </c>
      <c r="P85" s="251">
        <f t="shared" si="36"/>
        <v>50000</v>
      </c>
      <c r="Q85" s="230">
        <f t="shared" si="46"/>
        <v>-100</v>
      </c>
      <c r="R85" s="43">
        <f t="shared" si="38"/>
        <v>-100</v>
      </c>
      <c r="S85" s="200">
        <v>100000</v>
      </c>
      <c r="T85" s="266"/>
      <c r="U85" s="227">
        <f t="shared" si="44"/>
        <v>81166.262977099235</v>
      </c>
      <c r="V85" s="36">
        <f t="shared" si="37"/>
        <v>82.796962977099227</v>
      </c>
      <c r="W85" s="36">
        <f t="shared" si="40"/>
        <v>68.182500000000005</v>
      </c>
      <c r="X85" s="230">
        <f t="shared" si="47"/>
        <v>136.36500000000001</v>
      </c>
      <c r="Y85" s="43">
        <f t="shared" si="47"/>
        <v>136.36500000000001</v>
      </c>
      <c r="Z85" s="47"/>
      <c r="AA85" s="47"/>
    </row>
    <row r="86" spans="1:27" s="117" customFormat="1" ht="9.9499999999999993" customHeight="1" x14ac:dyDescent="0.15">
      <c r="A86" s="144" t="s">
        <v>296</v>
      </c>
      <c r="B86" s="215">
        <v>0.5</v>
      </c>
      <c r="C86" s="145">
        <f t="shared" si="19"/>
        <v>447.66482496183204</v>
      </c>
      <c r="D86" s="191">
        <f t="shared" si="20"/>
        <v>447664.82496183203</v>
      </c>
      <c r="E86" s="274">
        <v>312387.71999999997</v>
      </c>
      <c r="F86" s="196">
        <f t="shared" si="43"/>
        <v>309.47050000000002</v>
      </c>
      <c r="G86" s="191">
        <f t="shared" si="39"/>
        <v>309470.5</v>
      </c>
      <c r="H86" s="246">
        <f t="shared" si="35"/>
        <v>263941</v>
      </c>
      <c r="I86" s="200">
        <f>L86-263941</f>
        <v>355000</v>
      </c>
      <c r="J86" s="230">
        <f t="shared" si="45"/>
        <v>618.94100000000003</v>
      </c>
      <c r="K86" s="43">
        <f t="shared" si="21"/>
        <v>618.94100000000003</v>
      </c>
      <c r="L86" s="200">
        <v>618941</v>
      </c>
      <c r="M86" s="196">
        <f t="shared" ref="M86:M140" si="48">T86/1000*-1</f>
        <v>-115</v>
      </c>
      <c r="N86" s="36"/>
      <c r="O86" s="43">
        <f t="shared" si="26"/>
        <v>-150</v>
      </c>
      <c r="P86" s="251">
        <f t="shared" si="36"/>
        <v>150000</v>
      </c>
      <c r="Q86" s="230">
        <f t="shared" si="46"/>
        <v>-300</v>
      </c>
      <c r="R86" s="43">
        <f t="shared" si="38"/>
        <v>-300</v>
      </c>
      <c r="S86" s="200">
        <v>300000</v>
      </c>
      <c r="T86" s="266">
        <v>115000</v>
      </c>
      <c r="U86" s="227">
        <f t="shared" si="44"/>
        <v>135277.10496183205</v>
      </c>
      <c r="V86" s="36">
        <f t="shared" si="37"/>
        <v>332.66482496183204</v>
      </c>
      <c r="W86" s="36">
        <f t="shared" si="40"/>
        <v>159.47050000000002</v>
      </c>
      <c r="X86" s="230">
        <f t="shared" si="47"/>
        <v>318.94100000000003</v>
      </c>
      <c r="Y86" s="43">
        <f t="shared" si="47"/>
        <v>318.94100000000003</v>
      </c>
      <c r="Z86" s="47"/>
      <c r="AA86" s="47"/>
    </row>
    <row r="87" spans="1:27" s="117" customFormat="1" ht="9.9499999999999993" customHeight="1" x14ac:dyDescent="0.15">
      <c r="A87" s="144" t="s">
        <v>297</v>
      </c>
      <c r="B87" s="215">
        <v>0.6</v>
      </c>
      <c r="C87" s="145">
        <f t="shared" si="19"/>
        <v>183.92322595419847</v>
      </c>
      <c r="D87" s="191">
        <f t="shared" si="20"/>
        <v>183923.22595419848</v>
      </c>
      <c r="E87" s="274">
        <v>21590.7</v>
      </c>
      <c r="F87" s="196">
        <f t="shared" si="43"/>
        <v>440.86500000000001</v>
      </c>
      <c r="G87" s="191">
        <f t="shared" si="39"/>
        <v>440865</v>
      </c>
      <c r="H87" s="246">
        <f t="shared" si="35"/>
        <v>316730</v>
      </c>
      <c r="I87" s="200">
        <f>L87-316730</f>
        <v>565000</v>
      </c>
      <c r="J87" s="230">
        <f t="shared" si="45"/>
        <v>881.73</v>
      </c>
      <c r="K87" s="43">
        <f t="shared" si="21"/>
        <v>881.73</v>
      </c>
      <c r="L87" s="200">
        <v>881730</v>
      </c>
      <c r="M87" s="196">
        <f t="shared" si="48"/>
        <v>-28</v>
      </c>
      <c r="N87" s="36"/>
      <c r="O87" s="43">
        <f t="shared" si="26"/>
        <v>-250</v>
      </c>
      <c r="P87" s="251">
        <f t="shared" si="36"/>
        <v>250000</v>
      </c>
      <c r="Q87" s="230">
        <f t="shared" si="46"/>
        <v>-500</v>
      </c>
      <c r="R87" s="43">
        <f t="shared" si="38"/>
        <v>-500</v>
      </c>
      <c r="S87" s="200">
        <v>500000</v>
      </c>
      <c r="T87" s="266">
        <v>28000</v>
      </c>
      <c r="U87" s="227">
        <f t="shared" si="44"/>
        <v>162332.52595419847</v>
      </c>
      <c r="V87" s="36">
        <f t="shared" si="37"/>
        <v>155.92322595419847</v>
      </c>
      <c r="W87" s="36">
        <f t="shared" si="40"/>
        <v>190.86500000000001</v>
      </c>
      <c r="X87" s="230">
        <f t="shared" si="47"/>
        <v>381.73</v>
      </c>
      <c r="Y87" s="43">
        <f t="shared" si="47"/>
        <v>381.73</v>
      </c>
      <c r="Z87" s="47"/>
      <c r="AA87" s="47"/>
    </row>
    <row r="88" spans="1:27" s="117" customFormat="1" ht="9.9499999999999993" customHeight="1" x14ac:dyDescent="0.15">
      <c r="A88" s="144" t="s">
        <v>298</v>
      </c>
      <c r="B88" s="215">
        <v>0.4</v>
      </c>
      <c r="C88" s="145">
        <f t="shared" si="19"/>
        <v>277.33793396946567</v>
      </c>
      <c r="D88" s="191">
        <f t="shared" si="20"/>
        <v>277337.93396946567</v>
      </c>
      <c r="E88" s="274">
        <v>169116.25</v>
      </c>
      <c r="F88" s="196">
        <f t="shared" si="43"/>
        <v>297.32650000000001</v>
      </c>
      <c r="G88" s="191">
        <f t="shared" si="39"/>
        <v>297326.5</v>
      </c>
      <c r="H88" s="246">
        <f t="shared" si="35"/>
        <v>211153</v>
      </c>
      <c r="I88" s="200">
        <f>L88-211153</f>
        <v>383500</v>
      </c>
      <c r="J88" s="230">
        <f t="shared" si="45"/>
        <v>594.65300000000002</v>
      </c>
      <c r="K88" s="43">
        <f t="shared" si="21"/>
        <v>594.65300000000002</v>
      </c>
      <c r="L88" s="200">
        <v>594653</v>
      </c>
      <c r="M88" s="196">
        <f t="shared" si="48"/>
        <v>-184.381</v>
      </c>
      <c r="N88" s="36"/>
      <c r="O88" s="43">
        <f t="shared" si="26"/>
        <v>-192</v>
      </c>
      <c r="P88" s="251">
        <f t="shared" si="36"/>
        <v>192000</v>
      </c>
      <c r="Q88" s="230">
        <f t="shared" si="46"/>
        <v>-384</v>
      </c>
      <c r="R88" s="43">
        <f t="shared" si="38"/>
        <v>-384</v>
      </c>
      <c r="S88" s="200">
        <v>384000</v>
      </c>
      <c r="T88" s="266">
        <v>184381</v>
      </c>
      <c r="U88" s="227">
        <f t="shared" si="44"/>
        <v>108221.68396946565</v>
      </c>
      <c r="V88" s="36">
        <f t="shared" si="37"/>
        <v>92.956933969465666</v>
      </c>
      <c r="W88" s="36">
        <f t="shared" si="40"/>
        <v>105.32650000000001</v>
      </c>
      <c r="X88" s="230">
        <f t="shared" si="47"/>
        <v>210.65300000000002</v>
      </c>
      <c r="Y88" s="43">
        <f t="shared" si="47"/>
        <v>210.65300000000002</v>
      </c>
      <c r="Z88" s="47"/>
      <c r="AA88" s="47"/>
    </row>
    <row r="89" spans="1:27" s="117" customFormat="1" ht="9.9499999999999993" customHeight="1" x14ac:dyDescent="0.15">
      <c r="A89" s="144" t="s">
        <v>299</v>
      </c>
      <c r="B89" s="215">
        <v>0.2</v>
      </c>
      <c r="C89" s="145">
        <f t="shared" si="19"/>
        <v>55.536341984732829</v>
      </c>
      <c r="D89" s="191">
        <f t="shared" si="20"/>
        <v>55536.341984732826</v>
      </c>
      <c r="E89" s="274">
        <v>1425.5</v>
      </c>
      <c r="F89" s="196">
        <f t="shared" si="43"/>
        <v>127.7885</v>
      </c>
      <c r="G89" s="191">
        <f t="shared" si="39"/>
        <v>127788.5</v>
      </c>
      <c r="H89" s="246">
        <f t="shared" si="35"/>
        <v>105577</v>
      </c>
      <c r="I89" s="200">
        <f>L89-105577</f>
        <v>150000</v>
      </c>
      <c r="J89" s="230">
        <f t="shared" si="45"/>
        <v>255.577</v>
      </c>
      <c r="K89" s="43">
        <f t="shared" si="21"/>
        <v>255.577</v>
      </c>
      <c r="L89" s="200">
        <v>255577</v>
      </c>
      <c r="M89" s="196">
        <f t="shared" si="48"/>
        <v>0</v>
      </c>
      <c r="N89" s="36"/>
      <c r="O89" s="43">
        <f t="shared" si="26"/>
        <v>-87.5</v>
      </c>
      <c r="P89" s="251">
        <f t="shared" si="36"/>
        <v>87500</v>
      </c>
      <c r="Q89" s="230">
        <f t="shared" si="46"/>
        <v>-175</v>
      </c>
      <c r="R89" s="43">
        <f t="shared" si="38"/>
        <v>-175</v>
      </c>
      <c r="S89" s="200">
        <v>175000</v>
      </c>
      <c r="T89" s="266"/>
      <c r="U89" s="227">
        <f t="shared" si="44"/>
        <v>54110.841984732826</v>
      </c>
      <c r="V89" s="36">
        <f t="shared" si="37"/>
        <v>55.536341984732829</v>
      </c>
      <c r="W89" s="36">
        <f t="shared" si="40"/>
        <v>40.288499999999999</v>
      </c>
      <c r="X89" s="230">
        <f t="shared" si="47"/>
        <v>80.576999999999998</v>
      </c>
      <c r="Y89" s="43">
        <f t="shared" si="47"/>
        <v>80.576999999999998</v>
      </c>
      <c r="Z89" s="47"/>
      <c r="AA89" s="47"/>
    </row>
    <row r="90" spans="1:27" s="117" customFormat="1" ht="9.9499999999999993" customHeight="1" x14ac:dyDescent="0.15">
      <c r="A90" s="144" t="s">
        <v>300</v>
      </c>
      <c r="B90" s="215">
        <v>0.2</v>
      </c>
      <c r="C90" s="145">
        <f t="shared" ref="C90:C102" si="49">D90/1000</f>
        <v>54.110841984732829</v>
      </c>
      <c r="D90" s="191">
        <f t="shared" si="20"/>
        <v>54110.841984732826</v>
      </c>
      <c r="E90" s="274"/>
      <c r="F90" s="196">
        <f t="shared" si="43"/>
        <v>117.7885</v>
      </c>
      <c r="G90" s="191">
        <f t="shared" si="39"/>
        <v>117788.5</v>
      </c>
      <c r="H90" s="246">
        <f t="shared" si="35"/>
        <v>105577</v>
      </c>
      <c r="I90" s="200">
        <f>L90-105577</f>
        <v>130000</v>
      </c>
      <c r="J90" s="230">
        <f t="shared" si="45"/>
        <v>235.577</v>
      </c>
      <c r="K90" s="43">
        <f t="shared" si="21"/>
        <v>235.577</v>
      </c>
      <c r="L90" s="200">
        <v>235577</v>
      </c>
      <c r="M90" s="196">
        <f t="shared" si="48"/>
        <v>0</v>
      </c>
      <c r="N90" s="36"/>
      <c r="O90" s="43">
        <f t="shared" si="26"/>
        <v>-75</v>
      </c>
      <c r="P90" s="251">
        <f t="shared" si="36"/>
        <v>75000</v>
      </c>
      <c r="Q90" s="230">
        <f t="shared" si="46"/>
        <v>-150</v>
      </c>
      <c r="R90" s="43">
        <f t="shared" si="38"/>
        <v>-150</v>
      </c>
      <c r="S90" s="200">
        <v>150000</v>
      </c>
      <c r="T90" s="266"/>
      <c r="U90" s="227">
        <f t="shared" si="44"/>
        <v>54110.841984732826</v>
      </c>
      <c r="V90" s="36">
        <f t="shared" si="37"/>
        <v>54.110841984732829</v>
      </c>
      <c r="W90" s="36">
        <f t="shared" si="40"/>
        <v>42.788499999999999</v>
      </c>
      <c r="X90" s="230">
        <f t="shared" si="47"/>
        <v>85.576999999999998</v>
      </c>
      <c r="Y90" s="43">
        <f t="shared" si="47"/>
        <v>85.576999999999998</v>
      </c>
      <c r="Z90" s="47"/>
      <c r="AA90" s="47"/>
    </row>
    <row r="91" spans="1:27" s="117" customFormat="1" ht="9.9499999999999993" hidden="1" customHeight="1" x14ac:dyDescent="0.15">
      <c r="A91" s="144"/>
      <c r="B91" s="215"/>
      <c r="C91" s="145">
        <f t="shared" si="49"/>
        <v>0</v>
      </c>
      <c r="D91" s="41">
        <f t="shared" si="20"/>
        <v>0</v>
      </c>
      <c r="E91" s="274"/>
      <c r="F91" s="195">
        <f t="shared" si="43"/>
        <v>0</v>
      </c>
      <c r="G91" s="191">
        <f t="shared" si="39"/>
        <v>0</v>
      </c>
      <c r="H91" s="246">
        <f t="shared" si="35"/>
        <v>0</v>
      </c>
      <c r="I91" s="200">
        <f t="shared" ref="I91:I140" si="50">L91</f>
        <v>0</v>
      </c>
      <c r="J91" s="230"/>
      <c r="K91" s="41">
        <f t="shared" si="21"/>
        <v>0</v>
      </c>
      <c r="L91" s="200"/>
      <c r="M91" s="195">
        <f t="shared" si="48"/>
        <v>0</v>
      </c>
      <c r="N91" s="36"/>
      <c r="O91" s="43">
        <f t="shared" si="26"/>
        <v>0</v>
      </c>
      <c r="P91" s="251">
        <f t="shared" si="36"/>
        <v>0</v>
      </c>
      <c r="Q91" s="230"/>
      <c r="R91" s="43">
        <f t="shared" si="38"/>
        <v>0</v>
      </c>
      <c r="S91" s="200"/>
      <c r="T91" s="266"/>
      <c r="U91" s="210">
        <f t="shared" si="44"/>
        <v>0</v>
      </c>
      <c r="V91" s="36">
        <f t="shared" si="37"/>
        <v>0</v>
      </c>
      <c r="W91" s="36">
        <f t="shared" si="40"/>
        <v>0</v>
      </c>
      <c r="X91" s="230">
        <f t="shared" si="47"/>
        <v>0</v>
      </c>
      <c r="Y91" s="43">
        <f t="shared" si="47"/>
        <v>0</v>
      </c>
      <c r="Z91" s="47"/>
      <c r="AA91" s="47"/>
    </row>
    <row r="92" spans="1:27" s="117" customFormat="1" ht="9.9499999999999993" hidden="1" customHeight="1" x14ac:dyDescent="0.15">
      <c r="A92" s="144"/>
      <c r="B92" s="215"/>
      <c r="C92" s="145">
        <f t="shared" si="49"/>
        <v>0</v>
      </c>
      <c r="D92" s="41">
        <f t="shared" si="20"/>
        <v>0</v>
      </c>
      <c r="E92" s="274"/>
      <c r="F92" s="195">
        <f t="shared" si="43"/>
        <v>0</v>
      </c>
      <c r="G92" s="191">
        <f t="shared" si="39"/>
        <v>0</v>
      </c>
      <c r="H92" s="246">
        <f t="shared" si="35"/>
        <v>0</v>
      </c>
      <c r="I92" s="200">
        <f t="shared" si="50"/>
        <v>0</v>
      </c>
      <c r="J92" s="230"/>
      <c r="K92" s="41">
        <f t="shared" si="21"/>
        <v>0</v>
      </c>
      <c r="L92" s="200"/>
      <c r="M92" s="195">
        <f t="shared" si="48"/>
        <v>0</v>
      </c>
      <c r="N92" s="36"/>
      <c r="O92" s="43">
        <f t="shared" si="26"/>
        <v>0</v>
      </c>
      <c r="P92" s="251">
        <f t="shared" si="36"/>
        <v>0</v>
      </c>
      <c r="Q92" s="230"/>
      <c r="R92" s="43">
        <f t="shared" si="38"/>
        <v>0</v>
      </c>
      <c r="S92" s="200"/>
      <c r="T92" s="266"/>
      <c r="U92" s="210">
        <f t="shared" si="44"/>
        <v>0</v>
      </c>
      <c r="V92" s="36">
        <f t="shared" si="37"/>
        <v>0</v>
      </c>
      <c r="W92" s="36">
        <f t="shared" si="40"/>
        <v>0</v>
      </c>
      <c r="X92" s="230">
        <f t="shared" si="47"/>
        <v>0</v>
      </c>
      <c r="Y92" s="43">
        <f t="shared" si="47"/>
        <v>0</v>
      </c>
      <c r="Z92" s="47"/>
      <c r="AA92" s="47"/>
    </row>
    <row r="93" spans="1:27" s="117" customFormat="1" ht="9.9499999999999993" hidden="1" customHeight="1" x14ac:dyDescent="0.15">
      <c r="A93" s="144"/>
      <c r="B93" s="215"/>
      <c r="C93" s="145">
        <f t="shared" si="49"/>
        <v>0</v>
      </c>
      <c r="D93" s="41">
        <f t="shared" si="20"/>
        <v>0</v>
      </c>
      <c r="E93" s="274"/>
      <c r="F93" s="195">
        <f t="shared" si="43"/>
        <v>0</v>
      </c>
      <c r="G93" s="191">
        <f t="shared" si="39"/>
        <v>0</v>
      </c>
      <c r="H93" s="246">
        <f t="shared" si="35"/>
        <v>0</v>
      </c>
      <c r="I93" s="200">
        <f t="shared" si="50"/>
        <v>0</v>
      </c>
      <c r="J93" s="230"/>
      <c r="K93" s="41">
        <f t="shared" si="21"/>
        <v>0</v>
      </c>
      <c r="L93" s="200"/>
      <c r="M93" s="195">
        <f t="shared" si="48"/>
        <v>0</v>
      </c>
      <c r="N93" s="36"/>
      <c r="O93" s="43">
        <f t="shared" si="26"/>
        <v>0</v>
      </c>
      <c r="P93" s="251">
        <f t="shared" si="36"/>
        <v>0</v>
      </c>
      <c r="Q93" s="230"/>
      <c r="R93" s="43">
        <f t="shared" si="38"/>
        <v>0</v>
      </c>
      <c r="S93" s="200"/>
      <c r="T93" s="266"/>
      <c r="U93" s="210">
        <f t="shared" si="44"/>
        <v>0</v>
      </c>
      <c r="V93" s="36">
        <f t="shared" si="37"/>
        <v>0</v>
      </c>
      <c r="W93" s="36">
        <f t="shared" si="40"/>
        <v>0</v>
      </c>
      <c r="X93" s="230">
        <f t="shared" si="47"/>
        <v>0</v>
      </c>
      <c r="Y93" s="43">
        <f t="shared" si="47"/>
        <v>0</v>
      </c>
      <c r="Z93" s="47"/>
      <c r="AA93" s="47"/>
    </row>
    <row r="94" spans="1:27" s="117" customFormat="1" ht="9.9499999999999993" hidden="1" customHeight="1" x14ac:dyDescent="0.15">
      <c r="A94" s="144"/>
      <c r="B94" s="215"/>
      <c r="C94" s="145">
        <f t="shared" si="49"/>
        <v>0</v>
      </c>
      <c r="D94" s="41">
        <f t="shared" si="20"/>
        <v>0</v>
      </c>
      <c r="E94" s="274"/>
      <c r="F94" s="195">
        <f t="shared" si="43"/>
        <v>0</v>
      </c>
      <c r="G94" s="191">
        <f t="shared" si="39"/>
        <v>0</v>
      </c>
      <c r="H94" s="246">
        <f t="shared" si="35"/>
        <v>0</v>
      </c>
      <c r="I94" s="200">
        <f t="shared" si="50"/>
        <v>0</v>
      </c>
      <c r="J94" s="230"/>
      <c r="K94" s="41">
        <f t="shared" si="21"/>
        <v>0</v>
      </c>
      <c r="L94" s="200"/>
      <c r="M94" s="195">
        <f t="shared" si="48"/>
        <v>0</v>
      </c>
      <c r="N94" s="36"/>
      <c r="O94" s="43">
        <f t="shared" si="26"/>
        <v>0</v>
      </c>
      <c r="P94" s="251">
        <f t="shared" si="36"/>
        <v>0</v>
      </c>
      <c r="Q94" s="230"/>
      <c r="R94" s="43">
        <f t="shared" si="38"/>
        <v>0</v>
      </c>
      <c r="S94" s="200"/>
      <c r="T94" s="266"/>
      <c r="U94" s="210">
        <f t="shared" si="44"/>
        <v>0</v>
      </c>
      <c r="V94" s="36">
        <f t="shared" si="37"/>
        <v>0</v>
      </c>
      <c r="W94" s="36">
        <f t="shared" si="40"/>
        <v>0</v>
      </c>
      <c r="X94" s="230">
        <f t="shared" si="47"/>
        <v>0</v>
      </c>
      <c r="Y94" s="43">
        <f t="shared" si="47"/>
        <v>0</v>
      </c>
      <c r="Z94" s="47"/>
      <c r="AA94" s="47"/>
    </row>
    <row r="95" spans="1:27" s="117" customFormat="1" ht="9.9499999999999993" hidden="1" customHeight="1" x14ac:dyDescent="0.15">
      <c r="A95" s="144"/>
      <c r="B95" s="215"/>
      <c r="C95" s="145">
        <f t="shared" si="49"/>
        <v>0</v>
      </c>
      <c r="D95" s="41">
        <f t="shared" si="20"/>
        <v>0</v>
      </c>
      <c r="E95" s="274"/>
      <c r="F95" s="195">
        <f t="shared" si="43"/>
        <v>0</v>
      </c>
      <c r="G95" s="191">
        <f t="shared" si="39"/>
        <v>0</v>
      </c>
      <c r="H95" s="246">
        <f t="shared" si="35"/>
        <v>0</v>
      </c>
      <c r="I95" s="200">
        <f t="shared" si="50"/>
        <v>0</v>
      </c>
      <c r="J95" s="230"/>
      <c r="K95" s="41">
        <f t="shared" si="21"/>
        <v>0</v>
      </c>
      <c r="L95" s="200"/>
      <c r="M95" s="195">
        <f t="shared" si="48"/>
        <v>0</v>
      </c>
      <c r="N95" s="36"/>
      <c r="O95" s="43">
        <f t="shared" si="26"/>
        <v>0</v>
      </c>
      <c r="P95" s="251">
        <f t="shared" si="36"/>
        <v>0</v>
      </c>
      <c r="Q95" s="230"/>
      <c r="R95" s="43">
        <f t="shared" si="38"/>
        <v>0</v>
      </c>
      <c r="S95" s="200"/>
      <c r="T95" s="266"/>
      <c r="U95" s="210">
        <f t="shared" si="44"/>
        <v>0</v>
      </c>
      <c r="V95" s="36">
        <f t="shared" si="37"/>
        <v>0</v>
      </c>
      <c r="W95" s="36">
        <f t="shared" si="40"/>
        <v>0</v>
      </c>
      <c r="X95" s="230">
        <f t="shared" si="47"/>
        <v>0</v>
      </c>
      <c r="Y95" s="43">
        <f t="shared" si="47"/>
        <v>0</v>
      </c>
      <c r="Z95" s="47"/>
      <c r="AA95" s="47"/>
    </row>
    <row r="96" spans="1:27" s="117" customFormat="1" ht="9.9499999999999993" hidden="1" customHeight="1" x14ac:dyDescent="0.15">
      <c r="A96" s="144"/>
      <c r="B96" s="215"/>
      <c r="C96" s="145">
        <f t="shared" si="49"/>
        <v>0</v>
      </c>
      <c r="D96" s="41">
        <f t="shared" si="20"/>
        <v>0</v>
      </c>
      <c r="E96" s="274"/>
      <c r="F96" s="195">
        <f t="shared" si="43"/>
        <v>0</v>
      </c>
      <c r="G96" s="191">
        <f t="shared" si="39"/>
        <v>0</v>
      </c>
      <c r="H96" s="246">
        <f t="shared" si="35"/>
        <v>0</v>
      </c>
      <c r="I96" s="200">
        <f t="shared" si="50"/>
        <v>0</v>
      </c>
      <c r="J96" s="230"/>
      <c r="K96" s="41">
        <f t="shared" si="21"/>
        <v>0</v>
      </c>
      <c r="L96" s="200"/>
      <c r="M96" s="195">
        <f t="shared" si="48"/>
        <v>0</v>
      </c>
      <c r="N96" s="36"/>
      <c r="O96" s="43">
        <f t="shared" si="26"/>
        <v>0</v>
      </c>
      <c r="P96" s="251">
        <f t="shared" si="36"/>
        <v>0</v>
      </c>
      <c r="Q96" s="230"/>
      <c r="R96" s="43">
        <f t="shared" si="38"/>
        <v>0</v>
      </c>
      <c r="S96" s="200"/>
      <c r="T96" s="266"/>
      <c r="U96" s="210">
        <f t="shared" si="44"/>
        <v>0</v>
      </c>
      <c r="V96" s="36">
        <f t="shared" si="37"/>
        <v>0</v>
      </c>
      <c r="W96" s="36">
        <f t="shared" si="40"/>
        <v>0</v>
      </c>
      <c r="X96" s="230">
        <f t="shared" si="47"/>
        <v>0</v>
      </c>
      <c r="Y96" s="43">
        <f t="shared" si="47"/>
        <v>0</v>
      </c>
      <c r="Z96" s="47"/>
      <c r="AA96" s="47"/>
    </row>
    <row r="97" spans="1:27" s="117" customFormat="1" ht="9.9499999999999993" hidden="1" customHeight="1" x14ac:dyDescent="0.15">
      <c r="A97" s="144"/>
      <c r="B97" s="215"/>
      <c r="C97" s="145">
        <f t="shared" si="49"/>
        <v>0</v>
      </c>
      <c r="D97" s="41">
        <f t="shared" si="20"/>
        <v>0</v>
      </c>
      <c r="E97" s="274"/>
      <c r="F97" s="195">
        <f t="shared" si="43"/>
        <v>0</v>
      </c>
      <c r="G97" s="191">
        <f t="shared" si="39"/>
        <v>0</v>
      </c>
      <c r="H97" s="246">
        <f t="shared" si="35"/>
        <v>0</v>
      </c>
      <c r="I97" s="200">
        <f t="shared" si="50"/>
        <v>0</v>
      </c>
      <c r="J97" s="230"/>
      <c r="K97" s="41">
        <f t="shared" si="21"/>
        <v>0</v>
      </c>
      <c r="L97" s="200"/>
      <c r="M97" s="195">
        <f t="shared" si="48"/>
        <v>0</v>
      </c>
      <c r="N97" s="36"/>
      <c r="O97" s="43">
        <f t="shared" si="26"/>
        <v>0</v>
      </c>
      <c r="P97" s="251">
        <f t="shared" si="36"/>
        <v>0</v>
      </c>
      <c r="Q97" s="230"/>
      <c r="R97" s="43">
        <f t="shared" si="38"/>
        <v>0</v>
      </c>
      <c r="S97" s="200"/>
      <c r="T97" s="266"/>
      <c r="U97" s="210">
        <f t="shared" si="44"/>
        <v>0</v>
      </c>
      <c r="V97" s="36">
        <f t="shared" si="37"/>
        <v>0</v>
      </c>
      <c r="W97" s="36">
        <f t="shared" si="40"/>
        <v>0</v>
      </c>
      <c r="X97" s="230">
        <f t="shared" si="47"/>
        <v>0</v>
      </c>
      <c r="Y97" s="43">
        <f t="shared" si="47"/>
        <v>0</v>
      </c>
      <c r="Z97" s="47"/>
      <c r="AA97" s="47"/>
    </row>
    <row r="98" spans="1:27" s="118" customFormat="1" ht="9.9499999999999993" customHeight="1" x14ac:dyDescent="0.15">
      <c r="A98" s="142" t="s">
        <v>301</v>
      </c>
      <c r="B98" s="212">
        <f>SUM(B99:B102)</f>
        <v>0.45</v>
      </c>
      <c r="C98" s="140">
        <f t="shared" si="49"/>
        <v>215.96105446564886</v>
      </c>
      <c r="D98" s="41">
        <f t="shared" si="20"/>
        <v>215961.05446564886</v>
      </c>
      <c r="E98" s="247">
        <f>SUM(E99:E102)</f>
        <v>94211.66</v>
      </c>
      <c r="F98" s="195">
        <f t="shared" si="43"/>
        <v>348.77350000000001</v>
      </c>
      <c r="G98" s="191">
        <f t="shared" si="39"/>
        <v>348773.5</v>
      </c>
      <c r="H98" s="246">
        <f t="shared" si="35"/>
        <v>237547</v>
      </c>
      <c r="I98" s="198">
        <f>SUM(I99:I102)</f>
        <v>460000</v>
      </c>
      <c r="J98" s="231">
        <f>SUM(J99:J103)</f>
        <v>697.54700000000003</v>
      </c>
      <c r="K98" s="41">
        <f>L98/1000</f>
        <v>697.54700000000003</v>
      </c>
      <c r="L98" s="198">
        <f>SUM(L99:L103)</f>
        <v>697547</v>
      </c>
      <c r="M98" s="195">
        <f t="shared" si="48"/>
        <v>0</v>
      </c>
      <c r="N98" s="33"/>
      <c r="O98" s="41">
        <f t="shared" si="26"/>
        <v>-25</v>
      </c>
      <c r="P98" s="251">
        <f t="shared" si="36"/>
        <v>25000</v>
      </c>
      <c r="Q98" s="231">
        <f>SUM(Q99:Q102)</f>
        <v>-50</v>
      </c>
      <c r="R98" s="41">
        <f t="shared" si="38"/>
        <v>-50</v>
      </c>
      <c r="S98" s="198">
        <f>SUM(S99:S103)</f>
        <v>50000</v>
      </c>
      <c r="T98" s="265">
        <f>SUM(T99:T102)</f>
        <v>0</v>
      </c>
      <c r="U98" s="210">
        <f>SUM(U99:U102)</f>
        <v>121749.39446564886</v>
      </c>
      <c r="V98" s="33">
        <f t="shared" si="37"/>
        <v>215.96105446564886</v>
      </c>
      <c r="W98" s="33">
        <f t="shared" si="40"/>
        <v>323.77350000000001</v>
      </c>
      <c r="X98" s="231">
        <f t="shared" si="47"/>
        <v>647.54700000000003</v>
      </c>
      <c r="Y98" s="41">
        <f t="shared" si="47"/>
        <v>647.54700000000003</v>
      </c>
      <c r="Z98" s="47"/>
      <c r="AA98" s="47"/>
    </row>
    <row r="99" spans="1:27" s="117" customFormat="1" ht="9.9499999999999993" customHeight="1" x14ac:dyDescent="0.15">
      <c r="A99" s="144" t="s">
        <v>302</v>
      </c>
      <c r="B99" s="215">
        <v>0.05</v>
      </c>
      <c r="C99" s="145">
        <f t="shared" si="49"/>
        <v>13.665710496183207</v>
      </c>
      <c r="D99" s="191">
        <f>E99+U99</f>
        <v>13665.710496183206</v>
      </c>
      <c r="E99" s="274">
        <v>138</v>
      </c>
      <c r="F99" s="196">
        <f t="shared" si="43"/>
        <v>13.196999999999999</v>
      </c>
      <c r="G99" s="191">
        <f t="shared" si="39"/>
        <v>13197</v>
      </c>
      <c r="H99" s="246">
        <f t="shared" si="35"/>
        <v>26394</v>
      </c>
      <c r="I99" s="200">
        <f>L99-26394</f>
        <v>0</v>
      </c>
      <c r="J99" s="230">
        <f>K99</f>
        <v>26.393999999999998</v>
      </c>
      <c r="K99" s="43">
        <f t="shared" si="21"/>
        <v>26.393999999999998</v>
      </c>
      <c r="L99" s="200">
        <v>26394</v>
      </c>
      <c r="M99" s="196">
        <f t="shared" si="48"/>
        <v>0</v>
      </c>
      <c r="N99" s="36"/>
      <c r="O99" s="43">
        <f t="shared" si="26"/>
        <v>0</v>
      </c>
      <c r="P99" s="251">
        <f t="shared" si="36"/>
        <v>0</v>
      </c>
      <c r="Q99" s="230">
        <f>R99</f>
        <v>0</v>
      </c>
      <c r="R99" s="43">
        <f t="shared" si="38"/>
        <v>0</v>
      </c>
      <c r="S99" s="200">
        <v>0</v>
      </c>
      <c r="T99" s="266"/>
      <c r="U99" s="227">
        <f t="shared" si="44"/>
        <v>13527.710496183206</v>
      </c>
      <c r="V99" s="36">
        <f t="shared" si="37"/>
        <v>13.665710496183207</v>
      </c>
      <c r="W99" s="36">
        <f t="shared" si="40"/>
        <v>13.196999999999999</v>
      </c>
      <c r="X99" s="230">
        <f t="shared" si="47"/>
        <v>26.393999999999998</v>
      </c>
      <c r="Y99" s="43">
        <f t="shared" si="47"/>
        <v>26.393999999999998</v>
      </c>
      <c r="Z99" s="47"/>
      <c r="AA99" s="47"/>
    </row>
    <row r="100" spans="1:27" s="117" customFormat="1" ht="9.9499999999999993" customHeight="1" x14ac:dyDescent="0.15">
      <c r="A100" s="144" t="s">
        <v>303</v>
      </c>
      <c r="B100" s="215">
        <v>0.1</v>
      </c>
      <c r="C100" s="145">
        <f t="shared" si="49"/>
        <v>70.109430992366413</v>
      </c>
      <c r="D100" s="191">
        <f t="shared" ref="D100:D156" si="51">E100+U100</f>
        <v>70109.430992366411</v>
      </c>
      <c r="E100" s="274">
        <v>43054.01</v>
      </c>
      <c r="F100" s="196">
        <f t="shared" si="43"/>
        <v>41.393999999999998</v>
      </c>
      <c r="G100" s="191">
        <f t="shared" si="39"/>
        <v>41394</v>
      </c>
      <c r="H100" s="246">
        <f t="shared" si="35"/>
        <v>52788</v>
      </c>
      <c r="I100" s="200">
        <f>L100-52788</f>
        <v>30000</v>
      </c>
      <c r="J100" s="230">
        <f t="shared" ref="J100:J101" si="52">K100</f>
        <v>82.787999999999997</v>
      </c>
      <c r="K100" s="43">
        <f t="shared" si="21"/>
        <v>82.787999999999997</v>
      </c>
      <c r="L100" s="200">
        <v>82788</v>
      </c>
      <c r="M100" s="196">
        <f t="shared" si="48"/>
        <v>0</v>
      </c>
      <c r="N100" s="36"/>
      <c r="O100" s="43">
        <f t="shared" si="26"/>
        <v>0</v>
      </c>
      <c r="P100" s="251">
        <f t="shared" si="36"/>
        <v>0</v>
      </c>
      <c r="Q100" s="230">
        <f t="shared" ref="Q100:Q102" si="53">R100</f>
        <v>0</v>
      </c>
      <c r="R100" s="43">
        <f t="shared" si="38"/>
        <v>0</v>
      </c>
      <c r="S100" s="200"/>
      <c r="T100" s="266"/>
      <c r="U100" s="227">
        <f t="shared" si="44"/>
        <v>27055.420992366413</v>
      </c>
      <c r="V100" s="36">
        <f t="shared" si="37"/>
        <v>70.109430992366413</v>
      </c>
      <c r="W100" s="36">
        <f t="shared" si="40"/>
        <v>41.393999999999998</v>
      </c>
      <c r="X100" s="230">
        <f t="shared" si="47"/>
        <v>82.787999999999997</v>
      </c>
      <c r="Y100" s="43">
        <f t="shared" si="47"/>
        <v>82.787999999999997</v>
      </c>
      <c r="Z100" s="47"/>
      <c r="AA100" s="47"/>
    </row>
    <row r="101" spans="1:27" s="117" customFormat="1" ht="9.9499999999999993" customHeight="1" x14ac:dyDescent="0.15">
      <c r="A101" s="144" t="s">
        <v>304</v>
      </c>
      <c r="B101" s="215">
        <v>0.3</v>
      </c>
      <c r="C101" s="145">
        <f t="shared" si="49"/>
        <v>132.18591297709924</v>
      </c>
      <c r="D101" s="191">
        <f t="shared" si="51"/>
        <v>132185.91297709924</v>
      </c>
      <c r="E101" s="274">
        <v>51019.65</v>
      </c>
      <c r="F101" s="196">
        <f t="shared" si="43"/>
        <v>294.1825</v>
      </c>
      <c r="G101" s="191">
        <f t="shared" si="39"/>
        <v>294182.5</v>
      </c>
      <c r="H101" s="246">
        <f t="shared" si="35"/>
        <v>158365</v>
      </c>
      <c r="I101" s="200">
        <f>L101-158365</f>
        <v>430000</v>
      </c>
      <c r="J101" s="230">
        <f t="shared" si="52"/>
        <v>588.36500000000001</v>
      </c>
      <c r="K101" s="43">
        <f t="shared" ref="K101:K157" si="54">L101/1000</f>
        <v>588.36500000000001</v>
      </c>
      <c r="L101" s="200">
        <v>588365</v>
      </c>
      <c r="M101" s="196">
        <f t="shared" si="48"/>
        <v>0</v>
      </c>
      <c r="N101" s="36"/>
      <c r="O101" s="43">
        <f t="shared" si="26"/>
        <v>-25</v>
      </c>
      <c r="P101" s="251">
        <f t="shared" si="36"/>
        <v>25000</v>
      </c>
      <c r="Q101" s="230">
        <f t="shared" si="53"/>
        <v>-50</v>
      </c>
      <c r="R101" s="43">
        <f t="shared" si="38"/>
        <v>-50</v>
      </c>
      <c r="S101" s="200">
        <v>50000</v>
      </c>
      <c r="T101" s="266"/>
      <c r="U101" s="227">
        <f t="shared" si="44"/>
        <v>81166.262977099235</v>
      </c>
      <c r="V101" s="36">
        <f t="shared" si="37"/>
        <v>132.18591297709924</v>
      </c>
      <c r="W101" s="36">
        <f t="shared" si="40"/>
        <v>269.1825</v>
      </c>
      <c r="X101" s="230">
        <f t="shared" si="47"/>
        <v>538.36500000000001</v>
      </c>
      <c r="Y101" s="43">
        <f t="shared" si="47"/>
        <v>538.36500000000001</v>
      </c>
      <c r="Z101" s="47"/>
      <c r="AA101" s="47"/>
    </row>
    <row r="102" spans="1:27" s="117" customFormat="1" ht="9.9499999999999993" customHeight="1" x14ac:dyDescent="0.15">
      <c r="A102" s="144" t="s">
        <v>305</v>
      </c>
      <c r="B102" s="215">
        <v>0</v>
      </c>
      <c r="C102" s="145">
        <f t="shared" si="49"/>
        <v>0</v>
      </c>
      <c r="D102" s="191">
        <f t="shared" si="51"/>
        <v>0</v>
      </c>
      <c r="E102" s="274"/>
      <c r="F102" s="196">
        <f t="shared" si="43"/>
        <v>0</v>
      </c>
      <c r="G102" s="191">
        <f t="shared" si="39"/>
        <v>0</v>
      </c>
      <c r="H102" s="246">
        <f t="shared" si="35"/>
        <v>0</v>
      </c>
      <c r="I102" s="200">
        <f t="shared" si="50"/>
        <v>0</v>
      </c>
      <c r="J102" s="230">
        <f>K102</f>
        <v>0</v>
      </c>
      <c r="K102" s="43">
        <f t="shared" si="54"/>
        <v>0</v>
      </c>
      <c r="L102" s="200">
        <v>0</v>
      </c>
      <c r="M102" s="196">
        <f t="shared" si="48"/>
        <v>0</v>
      </c>
      <c r="N102" s="36"/>
      <c r="O102" s="43">
        <f t="shared" si="26"/>
        <v>0</v>
      </c>
      <c r="P102" s="251">
        <f t="shared" si="36"/>
        <v>0</v>
      </c>
      <c r="Q102" s="230">
        <f t="shared" si="53"/>
        <v>0</v>
      </c>
      <c r="R102" s="43">
        <f t="shared" si="38"/>
        <v>0</v>
      </c>
      <c r="S102" s="200"/>
      <c r="T102" s="266"/>
      <c r="U102" s="227">
        <f t="shared" si="44"/>
        <v>0</v>
      </c>
      <c r="V102" s="36">
        <f t="shared" si="37"/>
        <v>0</v>
      </c>
      <c r="W102" s="36">
        <f t="shared" si="40"/>
        <v>0</v>
      </c>
      <c r="X102" s="230">
        <f t="shared" si="47"/>
        <v>0</v>
      </c>
      <c r="Y102" s="43">
        <f t="shared" si="47"/>
        <v>0</v>
      </c>
      <c r="Z102" s="47"/>
      <c r="AA102" s="47"/>
    </row>
    <row r="103" spans="1:27" s="117" customFormat="1" ht="9" hidden="1" customHeight="1" x14ac:dyDescent="0.15">
      <c r="A103" s="168" t="s">
        <v>83</v>
      </c>
      <c r="B103" s="215"/>
      <c r="C103" s="140"/>
      <c r="D103" s="41">
        <f t="shared" si="51"/>
        <v>0</v>
      </c>
      <c r="E103" s="274"/>
      <c r="F103" s="195">
        <f t="shared" si="43"/>
        <v>0</v>
      </c>
      <c r="G103" s="191">
        <f t="shared" si="39"/>
        <v>0</v>
      </c>
      <c r="H103" s="246">
        <f t="shared" si="35"/>
        <v>0</v>
      </c>
      <c r="I103" s="200">
        <f t="shared" si="50"/>
        <v>0</v>
      </c>
      <c r="J103" s="230"/>
      <c r="K103" s="41">
        <f t="shared" si="54"/>
        <v>0</v>
      </c>
      <c r="L103" s="200"/>
      <c r="M103" s="195">
        <f t="shared" si="48"/>
        <v>0</v>
      </c>
      <c r="N103" s="36"/>
      <c r="O103" s="43">
        <f t="shared" si="26"/>
        <v>0</v>
      </c>
      <c r="P103" s="251">
        <f t="shared" si="36"/>
        <v>0</v>
      </c>
      <c r="Q103" s="230"/>
      <c r="R103" s="43"/>
      <c r="S103" s="200"/>
      <c r="T103" s="266"/>
      <c r="U103" s="210">
        <f t="shared" si="44"/>
        <v>0</v>
      </c>
      <c r="V103" s="36"/>
      <c r="W103" s="36"/>
      <c r="X103" s="230"/>
      <c r="Y103" s="41"/>
      <c r="Z103" s="47"/>
      <c r="AA103" s="47"/>
    </row>
    <row r="104" spans="1:27" s="179" customFormat="1" x14ac:dyDescent="0.15">
      <c r="A104" s="268" t="s">
        <v>306</v>
      </c>
      <c r="B104" s="216">
        <f>B105+B119</f>
        <v>9.85</v>
      </c>
      <c r="C104" s="170">
        <f t="shared" ref="C104:C128" si="55">D104/1000</f>
        <v>5077.5187877480912</v>
      </c>
      <c r="D104" s="41">
        <f t="shared" si="51"/>
        <v>5077518.7877480909</v>
      </c>
      <c r="E104" s="195">
        <f>E105+E119</f>
        <v>2412559.8199999998</v>
      </c>
      <c r="F104" s="191">
        <f t="shared" si="43"/>
        <v>5038.8230000000003</v>
      </c>
      <c r="G104" s="191">
        <f t="shared" si="39"/>
        <v>5038823</v>
      </c>
      <c r="H104" s="256">
        <f t="shared" si="35"/>
        <v>5199646</v>
      </c>
      <c r="I104" s="198">
        <f>I105+I119</f>
        <v>4878000</v>
      </c>
      <c r="J104" s="240">
        <f>J105+J119</f>
        <v>10077.646000000001</v>
      </c>
      <c r="K104" s="191">
        <f t="shared" si="54"/>
        <v>10077.646000000001</v>
      </c>
      <c r="L104" s="191">
        <f>L105+L119</f>
        <v>10077646</v>
      </c>
      <c r="M104" s="191">
        <f t="shared" si="48"/>
        <v>-28.3</v>
      </c>
      <c r="N104" s="171">
        <f>N105+N119</f>
        <v>0</v>
      </c>
      <c r="O104" s="171">
        <f t="shared" si="26"/>
        <v>-69</v>
      </c>
      <c r="P104" s="251">
        <f t="shared" si="36"/>
        <v>69000</v>
      </c>
      <c r="Q104" s="191">
        <f>Q105+Q119</f>
        <v>-138</v>
      </c>
      <c r="R104" s="171">
        <f t="shared" ref="R104:R128" si="56">S104/1000*-1</f>
        <v>-138</v>
      </c>
      <c r="S104" s="201">
        <f>S105+S119</f>
        <v>138000</v>
      </c>
      <c r="T104" s="201">
        <f>T105+T119</f>
        <v>28300</v>
      </c>
      <c r="U104" s="210">
        <f t="shared" si="44"/>
        <v>2664958.9677480916</v>
      </c>
      <c r="V104" s="173">
        <f t="shared" ref="V104:V127" si="57">C104+M104</f>
        <v>5049.218787748091</v>
      </c>
      <c r="W104" s="173">
        <f t="shared" ref="W104:W128" si="58">F104+O104</f>
        <v>4969.8230000000003</v>
      </c>
      <c r="X104" s="198">
        <f t="shared" ref="X104:Y128" si="59">J104+Q104</f>
        <v>9939.6460000000006</v>
      </c>
      <c r="Y104" s="171">
        <f t="shared" si="59"/>
        <v>9939.6460000000006</v>
      </c>
      <c r="Z104" s="174"/>
      <c r="AA104" s="174"/>
    </row>
    <row r="105" spans="1:27" s="118" customFormat="1" ht="9.9499999999999993" customHeight="1" x14ac:dyDescent="0.15">
      <c r="A105" s="142" t="s">
        <v>321</v>
      </c>
      <c r="B105" s="212">
        <f>SUM(B106:B118)</f>
        <v>6.29</v>
      </c>
      <c r="C105" s="140">
        <f t="shared" si="55"/>
        <v>2437.0367204198474</v>
      </c>
      <c r="D105" s="41">
        <f t="shared" si="51"/>
        <v>2437036.7204198474</v>
      </c>
      <c r="E105" s="247">
        <f>SUM(E106:E113)</f>
        <v>735250.74</v>
      </c>
      <c r="F105" s="195">
        <f t="shared" si="43"/>
        <v>2200.192</v>
      </c>
      <c r="G105" s="191">
        <f t="shared" si="39"/>
        <v>2200192</v>
      </c>
      <c r="H105" s="246">
        <f t="shared" si="35"/>
        <v>3320384</v>
      </c>
      <c r="I105" s="198">
        <f>SUM(I106:I113)</f>
        <v>1080000</v>
      </c>
      <c r="J105" s="234">
        <f>SUM(J106:J117)</f>
        <v>4400.384</v>
      </c>
      <c r="K105" s="41">
        <f t="shared" si="54"/>
        <v>4400.384</v>
      </c>
      <c r="L105" s="198">
        <f>SUM(L106:L118)</f>
        <v>4400384</v>
      </c>
      <c r="M105" s="195">
        <f t="shared" si="48"/>
        <v>-20</v>
      </c>
      <c r="N105" s="33">
        <f>N111</f>
        <v>0</v>
      </c>
      <c r="O105" s="41">
        <f t="shared" si="26"/>
        <v>-44</v>
      </c>
      <c r="P105" s="251">
        <f t="shared" si="36"/>
        <v>44000</v>
      </c>
      <c r="Q105" s="231">
        <f>SUM(Q106:Q113)</f>
        <v>-88</v>
      </c>
      <c r="R105" s="41">
        <f t="shared" si="56"/>
        <v>-88</v>
      </c>
      <c r="S105" s="198">
        <f>SUM(S106:S113)</f>
        <v>88000</v>
      </c>
      <c r="T105" s="265">
        <f>SUM(T106:T113)</f>
        <v>20000</v>
      </c>
      <c r="U105" s="210">
        <f>SUM(U106:U113)</f>
        <v>1701785.9804198474</v>
      </c>
      <c r="V105" s="33">
        <f t="shared" si="57"/>
        <v>2417.0367204198474</v>
      </c>
      <c r="W105" s="33">
        <f t="shared" si="58"/>
        <v>2156.192</v>
      </c>
      <c r="X105" s="231">
        <f t="shared" si="59"/>
        <v>4312.384</v>
      </c>
      <c r="Y105" s="41">
        <f t="shared" si="59"/>
        <v>4312.384</v>
      </c>
      <c r="Z105" s="47"/>
      <c r="AA105" s="47"/>
    </row>
    <row r="106" spans="1:27" s="117" customFormat="1" ht="9.9499999999999993" customHeight="1" x14ac:dyDescent="0.15">
      <c r="A106" s="144" t="s">
        <v>307</v>
      </c>
      <c r="B106" s="215">
        <v>3.24</v>
      </c>
      <c r="C106" s="145">
        <f t="shared" si="55"/>
        <v>1269.1836501526716</v>
      </c>
      <c r="D106" s="191">
        <f t="shared" si="51"/>
        <v>1269183.6501526716</v>
      </c>
      <c r="E106" s="274">
        <f>28548.8+363451.21+588</f>
        <v>392588.01</v>
      </c>
      <c r="F106" s="196">
        <f t="shared" si="43"/>
        <v>955.17</v>
      </c>
      <c r="G106" s="191">
        <f t="shared" si="39"/>
        <v>955170</v>
      </c>
      <c r="H106" s="246">
        <f t="shared" si="35"/>
        <v>1710340</v>
      </c>
      <c r="I106" s="200">
        <f>L106-1710340</f>
        <v>200000</v>
      </c>
      <c r="J106" s="230">
        <f>K106</f>
        <v>1910.34</v>
      </c>
      <c r="K106" s="43">
        <f t="shared" si="54"/>
        <v>1910.34</v>
      </c>
      <c r="L106" s="200">
        <v>1910340</v>
      </c>
      <c r="M106" s="196">
        <f t="shared" si="48"/>
        <v>-20</v>
      </c>
      <c r="N106" s="36"/>
      <c r="O106" s="43">
        <f t="shared" si="26"/>
        <v>0</v>
      </c>
      <c r="P106" s="251">
        <f t="shared" si="36"/>
        <v>0</v>
      </c>
      <c r="Q106" s="230">
        <f>R106</f>
        <v>0</v>
      </c>
      <c r="R106" s="43">
        <f t="shared" si="56"/>
        <v>0</v>
      </c>
      <c r="S106" s="200"/>
      <c r="T106" s="266">
        <v>20000</v>
      </c>
      <c r="U106" s="227">
        <f t="shared" si="44"/>
        <v>876595.64015267172</v>
      </c>
      <c r="V106" s="36">
        <f t="shared" si="57"/>
        <v>1249.1836501526716</v>
      </c>
      <c r="W106" s="36">
        <f t="shared" si="58"/>
        <v>955.17</v>
      </c>
      <c r="X106" s="230">
        <f t="shared" si="59"/>
        <v>1910.34</v>
      </c>
      <c r="Y106" s="43">
        <f t="shared" si="59"/>
        <v>1910.34</v>
      </c>
      <c r="Z106" s="47"/>
      <c r="AA106" s="47"/>
    </row>
    <row r="107" spans="1:27" s="117" customFormat="1" ht="9.9499999999999993" hidden="1" customHeight="1" x14ac:dyDescent="0.15">
      <c r="A107" s="144" t="s">
        <v>202</v>
      </c>
      <c r="B107" s="215"/>
      <c r="C107" s="145">
        <f t="shared" si="55"/>
        <v>0</v>
      </c>
      <c r="D107" s="191">
        <f t="shared" si="51"/>
        <v>0</v>
      </c>
      <c r="E107" s="274"/>
      <c r="F107" s="196">
        <f t="shared" si="43"/>
        <v>0</v>
      </c>
      <c r="G107" s="191">
        <f t="shared" si="39"/>
        <v>0</v>
      </c>
      <c r="H107" s="246">
        <f t="shared" si="35"/>
        <v>0</v>
      </c>
      <c r="I107" s="200">
        <f t="shared" si="50"/>
        <v>0</v>
      </c>
      <c r="J107" s="230">
        <f t="shared" ref="J107:J113" si="60">K107</f>
        <v>0</v>
      </c>
      <c r="K107" s="43">
        <f t="shared" si="54"/>
        <v>0</v>
      </c>
      <c r="L107" s="200"/>
      <c r="M107" s="196">
        <f t="shared" si="48"/>
        <v>0</v>
      </c>
      <c r="N107" s="36"/>
      <c r="O107" s="43">
        <f t="shared" si="26"/>
        <v>0</v>
      </c>
      <c r="P107" s="251">
        <f t="shared" si="36"/>
        <v>0</v>
      </c>
      <c r="Q107" s="230">
        <f t="shared" ref="Q107:Q113" si="61">R107</f>
        <v>0</v>
      </c>
      <c r="R107" s="43">
        <f t="shared" si="56"/>
        <v>0</v>
      </c>
      <c r="S107" s="200"/>
      <c r="T107" s="266"/>
      <c r="U107" s="227">
        <f t="shared" si="44"/>
        <v>0</v>
      </c>
      <c r="V107" s="36">
        <f t="shared" si="57"/>
        <v>0</v>
      </c>
      <c r="W107" s="36">
        <f t="shared" si="58"/>
        <v>0</v>
      </c>
      <c r="X107" s="230">
        <f t="shared" si="59"/>
        <v>0</v>
      </c>
      <c r="Y107" s="43">
        <f t="shared" si="59"/>
        <v>0</v>
      </c>
      <c r="Z107" s="47"/>
      <c r="AA107" s="47"/>
    </row>
    <row r="108" spans="1:27" s="117" customFormat="1" ht="9.9499999999999993" customHeight="1" x14ac:dyDescent="0.15">
      <c r="A108" s="144" t="s">
        <v>308</v>
      </c>
      <c r="B108" s="215">
        <v>0.4</v>
      </c>
      <c r="C108" s="145">
        <f t="shared" si="55"/>
        <v>115.68624396946565</v>
      </c>
      <c r="D108" s="191">
        <f t="shared" si="51"/>
        <v>115686.24396946565</v>
      </c>
      <c r="E108" s="274">
        <v>7464.56</v>
      </c>
      <c r="F108" s="196">
        <f t="shared" si="43"/>
        <v>105.5765</v>
      </c>
      <c r="G108" s="191">
        <f t="shared" si="39"/>
        <v>105576.5</v>
      </c>
      <c r="H108" s="246">
        <f t="shared" si="35"/>
        <v>211153</v>
      </c>
      <c r="I108" s="200">
        <f>L108-211153</f>
        <v>0</v>
      </c>
      <c r="J108" s="230">
        <f t="shared" si="60"/>
        <v>211.15299999999999</v>
      </c>
      <c r="K108" s="43">
        <f t="shared" si="54"/>
        <v>211.15299999999999</v>
      </c>
      <c r="L108" s="200">
        <v>211153</v>
      </c>
      <c r="M108" s="196">
        <f t="shared" si="48"/>
        <v>0</v>
      </c>
      <c r="N108" s="36"/>
      <c r="O108" s="43">
        <f t="shared" si="26"/>
        <v>0</v>
      </c>
      <c r="P108" s="251">
        <f t="shared" si="36"/>
        <v>0</v>
      </c>
      <c r="Q108" s="230">
        <f t="shared" si="61"/>
        <v>0</v>
      </c>
      <c r="R108" s="43">
        <f t="shared" si="56"/>
        <v>0</v>
      </c>
      <c r="S108" s="200"/>
      <c r="T108" s="266"/>
      <c r="U108" s="227">
        <f t="shared" si="44"/>
        <v>108221.68396946565</v>
      </c>
      <c r="V108" s="36">
        <f t="shared" si="57"/>
        <v>115.68624396946565</v>
      </c>
      <c r="W108" s="36">
        <f t="shared" si="58"/>
        <v>105.5765</v>
      </c>
      <c r="X108" s="230">
        <f t="shared" si="59"/>
        <v>211.15299999999999</v>
      </c>
      <c r="Y108" s="43">
        <f t="shared" si="59"/>
        <v>211.15299999999999</v>
      </c>
      <c r="Z108" s="47"/>
      <c r="AA108" s="47"/>
    </row>
    <row r="109" spans="1:27" s="117" customFormat="1" ht="9.9499999999999993" customHeight="1" x14ac:dyDescent="0.15">
      <c r="A109" s="144" t="s">
        <v>309</v>
      </c>
      <c r="B109" s="215">
        <v>1.3</v>
      </c>
      <c r="C109" s="145">
        <f t="shared" si="55"/>
        <v>369.04060290076336</v>
      </c>
      <c r="D109" s="191">
        <f t="shared" si="51"/>
        <v>369040.60290076333</v>
      </c>
      <c r="E109" s="274">
        <f>758.98+16561.15</f>
        <v>17320.13</v>
      </c>
      <c r="F109" s="196">
        <f t="shared" si="43"/>
        <v>543.12400000000002</v>
      </c>
      <c r="G109" s="191">
        <f t="shared" si="39"/>
        <v>543124</v>
      </c>
      <c r="H109" s="246">
        <f t="shared" si="35"/>
        <v>686248</v>
      </c>
      <c r="I109" s="200">
        <f>L109-686248</f>
        <v>400000</v>
      </c>
      <c r="J109" s="230">
        <f t="shared" si="60"/>
        <v>1086.248</v>
      </c>
      <c r="K109" s="43">
        <f t="shared" si="54"/>
        <v>1086.248</v>
      </c>
      <c r="L109" s="200">
        <v>1086248</v>
      </c>
      <c r="M109" s="196">
        <f t="shared" si="48"/>
        <v>0</v>
      </c>
      <c r="N109" s="36"/>
      <c r="O109" s="43">
        <f t="shared" si="26"/>
        <v>-44</v>
      </c>
      <c r="P109" s="251">
        <f t="shared" si="36"/>
        <v>44000</v>
      </c>
      <c r="Q109" s="230">
        <f t="shared" si="61"/>
        <v>-88</v>
      </c>
      <c r="R109" s="43">
        <f t="shared" si="56"/>
        <v>-88</v>
      </c>
      <c r="S109" s="200">
        <v>88000</v>
      </c>
      <c r="T109" s="266"/>
      <c r="U109" s="227">
        <f t="shared" si="44"/>
        <v>351720.47290076333</v>
      </c>
      <c r="V109" s="36">
        <f t="shared" si="57"/>
        <v>369.04060290076336</v>
      </c>
      <c r="W109" s="36">
        <f t="shared" si="58"/>
        <v>499.12400000000002</v>
      </c>
      <c r="X109" s="230">
        <f t="shared" si="59"/>
        <v>998.24800000000005</v>
      </c>
      <c r="Y109" s="43">
        <f t="shared" si="59"/>
        <v>998.24800000000005</v>
      </c>
      <c r="Z109" s="47"/>
      <c r="AA109" s="47"/>
    </row>
    <row r="110" spans="1:27" s="117" customFormat="1" ht="9.9499999999999993" customHeight="1" x14ac:dyDescent="0.15">
      <c r="A110" s="144" t="s">
        <v>310</v>
      </c>
      <c r="B110" s="215">
        <v>0.55000000000000004</v>
      </c>
      <c r="C110" s="145">
        <f t="shared" si="55"/>
        <v>311.6366554580153</v>
      </c>
      <c r="D110" s="191">
        <f t="shared" si="51"/>
        <v>311636.65545801527</v>
      </c>
      <c r="E110" s="274">
        <v>162831.84</v>
      </c>
      <c r="F110" s="196">
        <f t="shared" si="43"/>
        <v>357.66800000000001</v>
      </c>
      <c r="G110" s="191">
        <f t="shared" si="39"/>
        <v>357668</v>
      </c>
      <c r="H110" s="246">
        <f t="shared" si="35"/>
        <v>290336</v>
      </c>
      <c r="I110" s="200">
        <f>L110-290336</f>
        <v>425000</v>
      </c>
      <c r="J110" s="230">
        <f t="shared" si="60"/>
        <v>715.33600000000001</v>
      </c>
      <c r="K110" s="43">
        <f t="shared" si="54"/>
        <v>715.33600000000001</v>
      </c>
      <c r="L110" s="200">
        <v>715336</v>
      </c>
      <c r="M110" s="196">
        <f t="shared" si="48"/>
        <v>0</v>
      </c>
      <c r="N110" s="36"/>
      <c r="O110" s="43">
        <f t="shared" si="26"/>
        <v>0</v>
      </c>
      <c r="P110" s="251">
        <f t="shared" si="36"/>
        <v>0</v>
      </c>
      <c r="Q110" s="230">
        <f t="shared" si="61"/>
        <v>0</v>
      </c>
      <c r="R110" s="43">
        <f t="shared" si="56"/>
        <v>0</v>
      </c>
      <c r="S110" s="200"/>
      <c r="T110" s="266"/>
      <c r="U110" s="227">
        <f t="shared" si="44"/>
        <v>148804.81545801528</v>
      </c>
      <c r="V110" s="36">
        <f t="shared" si="57"/>
        <v>311.6366554580153</v>
      </c>
      <c r="W110" s="36">
        <f t="shared" si="58"/>
        <v>357.66800000000001</v>
      </c>
      <c r="X110" s="230">
        <f t="shared" si="59"/>
        <v>715.33600000000001</v>
      </c>
      <c r="Y110" s="43">
        <f t="shared" si="59"/>
        <v>715.33600000000001</v>
      </c>
      <c r="Z110" s="47"/>
      <c r="AA110" s="47"/>
    </row>
    <row r="111" spans="1:27" s="117" customFormat="1" ht="9.9499999999999993" customHeight="1" x14ac:dyDescent="0.15">
      <c r="A111" s="144" t="s">
        <v>311</v>
      </c>
      <c r="B111" s="215">
        <v>0.3</v>
      </c>
      <c r="C111" s="145">
        <f t="shared" si="55"/>
        <v>236.21246297709922</v>
      </c>
      <c r="D111" s="191">
        <f t="shared" si="51"/>
        <v>236212.46297709923</v>
      </c>
      <c r="E111" s="274">
        <v>155046.20000000001</v>
      </c>
      <c r="F111" s="196">
        <f t="shared" si="43"/>
        <v>99.182500000000005</v>
      </c>
      <c r="G111" s="191">
        <f t="shared" si="39"/>
        <v>99182.5</v>
      </c>
      <c r="H111" s="246">
        <f t="shared" si="35"/>
        <v>158365</v>
      </c>
      <c r="I111" s="200">
        <f>L111-158365</f>
        <v>40000</v>
      </c>
      <c r="J111" s="230">
        <f t="shared" si="60"/>
        <v>198.36500000000001</v>
      </c>
      <c r="K111" s="43">
        <f t="shared" si="54"/>
        <v>198.36500000000001</v>
      </c>
      <c r="L111" s="200">
        <v>198365</v>
      </c>
      <c r="M111" s="196">
        <f t="shared" si="48"/>
        <v>0</v>
      </c>
      <c r="N111" s="36"/>
      <c r="O111" s="43">
        <f t="shared" ref="O111:O128" si="62">P111/1000*-1</f>
        <v>0</v>
      </c>
      <c r="P111" s="251">
        <f t="shared" si="36"/>
        <v>0</v>
      </c>
      <c r="Q111" s="230">
        <f t="shared" si="61"/>
        <v>0</v>
      </c>
      <c r="R111" s="43">
        <f t="shared" si="56"/>
        <v>0</v>
      </c>
      <c r="S111" s="200"/>
      <c r="T111" s="266"/>
      <c r="U111" s="227">
        <f t="shared" si="44"/>
        <v>81166.262977099235</v>
      </c>
      <c r="V111" s="36">
        <f t="shared" si="57"/>
        <v>236.21246297709922</v>
      </c>
      <c r="W111" s="36">
        <f t="shared" si="58"/>
        <v>99.182500000000005</v>
      </c>
      <c r="X111" s="230">
        <f t="shared" si="59"/>
        <v>198.36500000000001</v>
      </c>
      <c r="Y111" s="43">
        <f t="shared" si="59"/>
        <v>198.36500000000001</v>
      </c>
      <c r="Z111" s="47"/>
      <c r="AA111" s="47"/>
    </row>
    <row r="112" spans="1:27" s="117" customFormat="1" ht="9.9499999999999993" customHeight="1" x14ac:dyDescent="0.15">
      <c r="A112" s="144" t="s">
        <v>312</v>
      </c>
      <c r="B112" s="215">
        <v>0.3</v>
      </c>
      <c r="C112" s="145">
        <f t="shared" si="55"/>
        <v>81.166262977099237</v>
      </c>
      <c r="D112" s="191">
        <f t="shared" si="51"/>
        <v>81166.262977099235</v>
      </c>
      <c r="E112" s="274"/>
      <c r="F112" s="196">
        <f t="shared" si="43"/>
        <v>79.182500000000005</v>
      </c>
      <c r="G112" s="191">
        <f t="shared" si="39"/>
        <v>79182.5</v>
      </c>
      <c r="H112" s="246">
        <f t="shared" si="35"/>
        <v>158365</v>
      </c>
      <c r="I112" s="200">
        <f>L112-158365</f>
        <v>0</v>
      </c>
      <c r="J112" s="230">
        <f t="shared" si="60"/>
        <v>158.36500000000001</v>
      </c>
      <c r="K112" s="43">
        <f t="shared" si="54"/>
        <v>158.36500000000001</v>
      </c>
      <c r="L112" s="200">
        <v>158365</v>
      </c>
      <c r="M112" s="196">
        <f t="shared" si="48"/>
        <v>0</v>
      </c>
      <c r="N112" s="36"/>
      <c r="O112" s="43">
        <f t="shared" si="62"/>
        <v>0</v>
      </c>
      <c r="P112" s="251">
        <f t="shared" si="36"/>
        <v>0</v>
      </c>
      <c r="Q112" s="230">
        <f t="shared" si="61"/>
        <v>0</v>
      </c>
      <c r="R112" s="43">
        <f t="shared" si="56"/>
        <v>0</v>
      </c>
      <c r="S112" s="200"/>
      <c r="T112" s="266"/>
      <c r="U112" s="227">
        <f t="shared" si="44"/>
        <v>81166.262977099235</v>
      </c>
      <c r="V112" s="36">
        <f t="shared" si="57"/>
        <v>81.166262977099237</v>
      </c>
      <c r="W112" s="36">
        <f t="shared" si="58"/>
        <v>79.182500000000005</v>
      </c>
      <c r="X112" s="230">
        <f t="shared" si="59"/>
        <v>158.36500000000001</v>
      </c>
      <c r="Y112" s="43">
        <f t="shared" si="59"/>
        <v>158.36500000000001</v>
      </c>
      <c r="Z112" s="47"/>
      <c r="AA112" s="47"/>
    </row>
    <row r="113" spans="1:27" s="117" customFormat="1" ht="9.9499999999999993" customHeight="1" x14ac:dyDescent="0.15">
      <c r="A113" s="144" t="s">
        <v>313</v>
      </c>
      <c r="B113" s="215">
        <v>0.2</v>
      </c>
      <c r="C113" s="145">
        <f t="shared" si="55"/>
        <v>54.110841984732829</v>
      </c>
      <c r="D113" s="191">
        <f t="shared" si="51"/>
        <v>54110.841984732826</v>
      </c>
      <c r="E113" s="274"/>
      <c r="F113" s="196">
        <f t="shared" si="43"/>
        <v>60.288499999999999</v>
      </c>
      <c r="G113" s="191">
        <f t="shared" si="39"/>
        <v>60288.5</v>
      </c>
      <c r="H113" s="246">
        <f t="shared" si="35"/>
        <v>105577</v>
      </c>
      <c r="I113" s="200">
        <f>L113-105577</f>
        <v>15000</v>
      </c>
      <c r="J113" s="230">
        <f t="shared" si="60"/>
        <v>120.577</v>
      </c>
      <c r="K113" s="43">
        <f t="shared" si="54"/>
        <v>120.577</v>
      </c>
      <c r="L113" s="200">
        <v>120577</v>
      </c>
      <c r="M113" s="196">
        <f t="shared" si="48"/>
        <v>0</v>
      </c>
      <c r="N113" s="36"/>
      <c r="O113" s="43">
        <f t="shared" si="62"/>
        <v>0</v>
      </c>
      <c r="P113" s="251">
        <f t="shared" si="36"/>
        <v>0</v>
      </c>
      <c r="Q113" s="230">
        <f t="shared" si="61"/>
        <v>0</v>
      </c>
      <c r="R113" s="43">
        <f t="shared" si="56"/>
        <v>0</v>
      </c>
      <c r="S113" s="200"/>
      <c r="T113" s="266"/>
      <c r="U113" s="227">
        <f t="shared" si="44"/>
        <v>54110.841984732826</v>
      </c>
      <c r="V113" s="36">
        <f t="shared" si="57"/>
        <v>54.110841984732829</v>
      </c>
      <c r="W113" s="36">
        <f t="shared" si="58"/>
        <v>60.288499999999999</v>
      </c>
      <c r="X113" s="230">
        <f t="shared" si="59"/>
        <v>120.577</v>
      </c>
      <c r="Y113" s="43">
        <f t="shared" si="59"/>
        <v>120.577</v>
      </c>
      <c r="Z113" s="47"/>
      <c r="AA113" s="47"/>
    </row>
    <row r="114" spans="1:27" s="117" customFormat="1" ht="9.9499999999999993" hidden="1" customHeight="1" x14ac:dyDescent="0.15">
      <c r="A114" s="144">
        <v>0</v>
      </c>
      <c r="B114" s="215">
        <v>0</v>
      </c>
      <c r="C114" s="145">
        <f t="shared" si="55"/>
        <v>0</v>
      </c>
      <c r="D114" s="41">
        <f t="shared" si="51"/>
        <v>0</v>
      </c>
      <c r="E114" s="274"/>
      <c r="F114" s="196">
        <f t="shared" si="43"/>
        <v>0</v>
      </c>
      <c r="G114" s="191">
        <f t="shared" si="39"/>
        <v>0</v>
      </c>
      <c r="H114" s="246">
        <f t="shared" si="35"/>
        <v>0</v>
      </c>
      <c r="I114" s="200">
        <f t="shared" si="50"/>
        <v>0</v>
      </c>
      <c r="J114" s="230"/>
      <c r="K114" s="43">
        <f t="shared" si="54"/>
        <v>0</v>
      </c>
      <c r="L114" s="200"/>
      <c r="M114" s="196">
        <f t="shared" si="48"/>
        <v>0</v>
      </c>
      <c r="N114" s="36"/>
      <c r="O114" s="43">
        <f t="shared" si="62"/>
        <v>0</v>
      </c>
      <c r="P114" s="251">
        <f t="shared" si="36"/>
        <v>0</v>
      </c>
      <c r="Q114" s="230">
        <v>0</v>
      </c>
      <c r="R114" s="43">
        <f t="shared" si="56"/>
        <v>0</v>
      </c>
      <c r="S114" s="200"/>
      <c r="T114" s="266"/>
      <c r="U114" s="210">
        <f t="shared" si="44"/>
        <v>0</v>
      </c>
      <c r="V114" s="36">
        <f t="shared" si="57"/>
        <v>0</v>
      </c>
      <c r="W114" s="36">
        <f t="shared" si="58"/>
        <v>0</v>
      </c>
      <c r="X114" s="230">
        <f t="shared" si="59"/>
        <v>0</v>
      </c>
      <c r="Y114" s="43">
        <f t="shared" si="59"/>
        <v>0</v>
      </c>
      <c r="Z114" s="47"/>
      <c r="AA114" s="47"/>
    </row>
    <row r="115" spans="1:27" s="117" customFormat="1" ht="9.9499999999999993" hidden="1" customHeight="1" x14ac:dyDescent="0.15">
      <c r="A115" s="144">
        <v>0</v>
      </c>
      <c r="B115" s="215">
        <v>0</v>
      </c>
      <c r="C115" s="145">
        <f t="shared" si="55"/>
        <v>0</v>
      </c>
      <c r="D115" s="41">
        <f t="shared" si="51"/>
        <v>0</v>
      </c>
      <c r="E115" s="274"/>
      <c r="F115" s="196"/>
      <c r="G115" s="191">
        <f t="shared" si="39"/>
        <v>0</v>
      </c>
      <c r="H115" s="246">
        <f t="shared" si="35"/>
        <v>0</v>
      </c>
      <c r="I115" s="200">
        <f t="shared" si="50"/>
        <v>0</v>
      </c>
      <c r="J115" s="230"/>
      <c r="K115" s="43"/>
      <c r="L115" s="200"/>
      <c r="M115" s="196"/>
      <c r="N115" s="36"/>
      <c r="O115" s="43"/>
      <c r="P115" s="251">
        <f t="shared" si="36"/>
        <v>0</v>
      </c>
      <c r="Q115" s="230"/>
      <c r="R115" s="43"/>
      <c r="S115" s="200"/>
      <c r="T115" s="266"/>
      <c r="U115" s="210">
        <f t="shared" si="44"/>
        <v>0</v>
      </c>
      <c r="V115" s="36"/>
      <c r="W115" s="36"/>
      <c r="X115" s="230"/>
      <c r="Y115" s="43"/>
      <c r="Z115" s="47"/>
      <c r="AA115" s="47"/>
    </row>
    <row r="116" spans="1:27" s="117" customFormat="1" ht="9.9499999999999993" hidden="1" customHeight="1" x14ac:dyDescent="0.15">
      <c r="A116" s="144">
        <v>0</v>
      </c>
      <c r="B116" s="215">
        <v>0</v>
      </c>
      <c r="C116" s="145">
        <f t="shared" si="55"/>
        <v>0</v>
      </c>
      <c r="D116" s="41">
        <f t="shared" si="51"/>
        <v>0</v>
      </c>
      <c r="E116" s="274"/>
      <c r="F116" s="196">
        <f t="shared" si="43"/>
        <v>0</v>
      </c>
      <c r="G116" s="191">
        <f t="shared" si="39"/>
        <v>0</v>
      </c>
      <c r="H116" s="246">
        <f t="shared" si="35"/>
        <v>0</v>
      </c>
      <c r="I116" s="200">
        <f t="shared" si="50"/>
        <v>0</v>
      </c>
      <c r="J116" s="230"/>
      <c r="K116" s="43">
        <f t="shared" si="54"/>
        <v>0</v>
      </c>
      <c r="L116" s="200"/>
      <c r="M116" s="196">
        <f t="shared" si="48"/>
        <v>0</v>
      </c>
      <c r="N116" s="36"/>
      <c r="O116" s="43">
        <f t="shared" si="62"/>
        <v>0</v>
      </c>
      <c r="P116" s="251">
        <f t="shared" si="36"/>
        <v>0</v>
      </c>
      <c r="Q116" s="230">
        <v>0</v>
      </c>
      <c r="R116" s="43">
        <f t="shared" si="56"/>
        <v>0</v>
      </c>
      <c r="S116" s="200"/>
      <c r="T116" s="266"/>
      <c r="U116" s="210">
        <f t="shared" si="44"/>
        <v>0</v>
      </c>
      <c r="V116" s="36">
        <f t="shared" si="57"/>
        <v>0</v>
      </c>
      <c r="W116" s="36">
        <f t="shared" si="58"/>
        <v>0</v>
      </c>
      <c r="X116" s="230">
        <f t="shared" si="59"/>
        <v>0</v>
      </c>
      <c r="Y116" s="43">
        <f t="shared" si="59"/>
        <v>0</v>
      </c>
      <c r="Z116" s="47"/>
      <c r="AA116" s="47"/>
    </row>
    <row r="117" spans="1:27" s="117" customFormat="1" ht="9.9499999999999993" hidden="1" customHeight="1" x14ac:dyDescent="0.15">
      <c r="A117" s="144">
        <v>0</v>
      </c>
      <c r="B117" s="215">
        <v>0</v>
      </c>
      <c r="C117" s="145"/>
      <c r="D117" s="41">
        <f t="shared" si="51"/>
        <v>0</v>
      </c>
      <c r="E117" s="274"/>
      <c r="F117" s="196">
        <f t="shared" si="43"/>
        <v>0</v>
      </c>
      <c r="G117" s="191">
        <f t="shared" si="39"/>
        <v>0</v>
      </c>
      <c r="H117" s="246">
        <f t="shared" si="35"/>
        <v>0</v>
      </c>
      <c r="I117" s="200">
        <f t="shared" si="50"/>
        <v>0</v>
      </c>
      <c r="J117" s="230"/>
      <c r="K117" s="43">
        <f t="shared" si="54"/>
        <v>0</v>
      </c>
      <c r="L117" s="200"/>
      <c r="M117" s="196">
        <f t="shared" si="48"/>
        <v>0</v>
      </c>
      <c r="N117" s="36"/>
      <c r="O117" s="43"/>
      <c r="P117" s="251">
        <f t="shared" si="36"/>
        <v>0</v>
      </c>
      <c r="Q117" s="230"/>
      <c r="R117" s="43"/>
      <c r="S117" s="200"/>
      <c r="T117" s="266"/>
      <c r="U117" s="210">
        <f t="shared" si="44"/>
        <v>0</v>
      </c>
      <c r="V117" s="36">
        <f t="shared" si="57"/>
        <v>0</v>
      </c>
      <c r="W117" s="36">
        <f t="shared" si="58"/>
        <v>0</v>
      </c>
      <c r="X117" s="230">
        <f t="shared" si="59"/>
        <v>0</v>
      </c>
      <c r="Y117" s="43">
        <f t="shared" si="59"/>
        <v>0</v>
      </c>
      <c r="Z117" s="47"/>
      <c r="AA117" s="47"/>
    </row>
    <row r="118" spans="1:27" s="117" customFormat="1" ht="9.9499999999999993" hidden="1" customHeight="1" x14ac:dyDescent="0.15">
      <c r="A118" s="144" t="s">
        <v>209</v>
      </c>
      <c r="B118" s="215"/>
      <c r="C118" s="145">
        <f t="shared" si="55"/>
        <v>0</v>
      </c>
      <c r="D118" s="41">
        <f t="shared" si="51"/>
        <v>0</v>
      </c>
      <c r="E118" s="274"/>
      <c r="F118" s="195">
        <f t="shared" si="43"/>
        <v>0</v>
      </c>
      <c r="G118" s="191">
        <f t="shared" si="39"/>
        <v>0</v>
      </c>
      <c r="H118" s="246">
        <f t="shared" si="35"/>
        <v>0</v>
      </c>
      <c r="I118" s="200">
        <f t="shared" si="50"/>
        <v>0</v>
      </c>
      <c r="J118" s="230"/>
      <c r="K118" s="41">
        <f t="shared" si="54"/>
        <v>0</v>
      </c>
      <c r="L118" s="200"/>
      <c r="M118" s="195">
        <f t="shared" si="48"/>
        <v>0</v>
      </c>
      <c r="N118" s="36"/>
      <c r="O118" s="43">
        <f t="shared" si="62"/>
        <v>0</v>
      </c>
      <c r="P118" s="251">
        <f t="shared" si="36"/>
        <v>0</v>
      </c>
      <c r="Q118" s="230">
        <v>0</v>
      </c>
      <c r="R118" s="43">
        <f t="shared" si="56"/>
        <v>0</v>
      </c>
      <c r="S118" s="200"/>
      <c r="T118" s="266"/>
      <c r="U118" s="210">
        <f t="shared" si="44"/>
        <v>0</v>
      </c>
      <c r="V118" s="36">
        <f t="shared" si="57"/>
        <v>0</v>
      </c>
      <c r="W118" s="36">
        <f t="shared" si="58"/>
        <v>0</v>
      </c>
      <c r="X118" s="230">
        <f t="shared" si="59"/>
        <v>0</v>
      </c>
      <c r="Y118" s="43">
        <f t="shared" si="59"/>
        <v>0</v>
      </c>
      <c r="Z118" s="47"/>
      <c r="AA118" s="47"/>
    </row>
    <row r="119" spans="1:27" s="118" customFormat="1" ht="9.9499999999999993" customHeight="1" x14ac:dyDescent="0.15">
      <c r="A119" s="142" t="s">
        <v>314</v>
      </c>
      <c r="B119" s="212">
        <f>SUM(B120:B128)</f>
        <v>3.5599999999999996</v>
      </c>
      <c r="C119" s="140">
        <f t="shared" si="55"/>
        <v>2640.4820673282438</v>
      </c>
      <c r="D119" s="41">
        <f>E119+U119</f>
        <v>2640482.067328244</v>
      </c>
      <c r="E119" s="247">
        <f>SUM(E120:E128)</f>
        <v>1677309.0799999998</v>
      </c>
      <c r="F119" s="195">
        <f t="shared" si="43"/>
        <v>2838.6309999999999</v>
      </c>
      <c r="G119" s="191">
        <f t="shared" si="39"/>
        <v>2838631</v>
      </c>
      <c r="H119" s="246">
        <f t="shared" si="35"/>
        <v>1879262</v>
      </c>
      <c r="I119" s="198">
        <f>SUM(I120:I127)</f>
        <v>3798000</v>
      </c>
      <c r="J119" s="231">
        <f>SUM(J120:J128)</f>
        <v>5677.2619999999997</v>
      </c>
      <c r="K119" s="41">
        <f t="shared" si="54"/>
        <v>5677.2619999999997</v>
      </c>
      <c r="L119" s="198">
        <f>SUM(L120:L128)</f>
        <v>5677262</v>
      </c>
      <c r="M119" s="195">
        <f t="shared" si="48"/>
        <v>-8.3000000000000007</v>
      </c>
      <c r="N119" s="33"/>
      <c r="O119" s="41">
        <f t="shared" si="62"/>
        <v>-25</v>
      </c>
      <c r="P119" s="251">
        <f t="shared" si="36"/>
        <v>25000</v>
      </c>
      <c r="Q119" s="231">
        <f>SUM(Q120:Q127)</f>
        <v>-50</v>
      </c>
      <c r="R119" s="41">
        <f t="shared" si="56"/>
        <v>-50</v>
      </c>
      <c r="S119" s="198">
        <f>SUM(S120:S127)</f>
        <v>50000</v>
      </c>
      <c r="T119" s="265">
        <f>SUM(T120:T127)</f>
        <v>8300</v>
      </c>
      <c r="U119" s="210">
        <f>SUM(U120:U127)</f>
        <v>963172.98732824414</v>
      </c>
      <c r="V119" s="33">
        <f t="shared" si="57"/>
        <v>2632.1820673282436</v>
      </c>
      <c r="W119" s="33">
        <f t="shared" si="58"/>
        <v>2813.6309999999999</v>
      </c>
      <c r="X119" s="231">
        <f t="shared" si="59"/>
        <v>5627.2619999999997</v>
      </c>
      <c r="Y119" s="41">
        <f t="shared" si="59"/>
        <v>5627.2619999999997</v>
      </c>
      <c r="Z119" s="47"/>
      <c r="AA119" s="47"/>
    </row>
    <row r="120" spans="1:27" s="117" customFormat="1" ht="9.9499999999999993" customHeight="1" x14ac:dyDescent="0.15">
      <c r="A120" s="144" t="s">
        <v>315</v>
      </c>
      <c r="B120" s="215">
        <v>0</v>
      </c>
      <c r="C120" s="145">
        <f t="shared" si="55"/>
        <v>783.17173000000003</v>
      </c>
      <c r="D120" s="191">
        <f t="shared" si="51"/>
        <v>783171.73</v>
      </c>
      <c r="E120" s="274">
        <f>5132+778039.73</f>
        <v>783171.73</v>
      </c>
      <c r="F120" s="196">
        <f>G120/1000</f>
        <v>1000</v>
      </c>
      <c r="G120" s="191">
        <f t="shared" si="39"/>
        <v>1000000</v>
      </c>
      <c r="H120" s="246">
        <f t="shared" si="35"/>
        <v>0</v>
      </c>
      <c r="I120" s="200">
        <f t="shared" si="50"/>
        <v>2000000</v>
      </c>
      <c r="J120" s="230">
        <f>K120</f>
        <v>2000</v>
      </c>
      <c r="K120" s="43">
        <f t="shared" si="54"/>
        <v>2000</v>
      </c>
      <c r="L120" s="200">
        <v>2000000</v>
      </c>
      <c r="M120" s="196">
        <f t="shared" si="48"/>
        <v>0</v>
      </c>
      <c r="N120" s="36"/>
      <c r="O120" s="43">
        <f t="shared" si="62"/>
        <v>0</v>
      </c>
      <c r="P120" s="251">
        <f t="shared" si="36"/>
        <v>0</v>
      </c>
      <c r="Q120" s="230">
        <f>R120</f>
        <v>0</v>
      </c>
      <c r="R120" s="43">
        <f t="shared" si="56"/>
        <v>0</v>
      </c>
      <c r="S120" s="200"/>
      <c r="T120" s="266"/>
      <c r="U120" s="227">
        <f t="shared" si="44"/>
        <v>0</v>
      </c>
      <c r="V120" s="36">
        <f t="shared" si="57"/>
        <v>783.17173000000003</v>
      </c>
      <c r="W120" s="36">
        <f t="shared" si="58"/>
        <v>1000</v>
      </c>
      <c r="X120" s="230">
        <f t="shared" si="59"/>
        <v>2000</v>
      </c>
      <c r="Y120" s="43">
        <f t="shared" si="59"/>
        <v>2000</v>
      </c>
      <c r="Z120" s="47"/>
      <c r="AA120" s="47"/>
    </row>
    <row r="121" spans="1:27" s="117" customFormat="1" ht="9.9499999999999993" customHeight="1" x14ac:dyDescent="0.15">
      <c r="A121" s="144" t="s">
        <v>316</v>
      </c>
      <c r="B121" s="215">
        <v>0.1</v>
      </c>
      <c r="C121" s="145">
        <f t="shared" si="55"/>
        <v>147.55938099236641</v>
      </c>
      <c r="D121" s="191">
        <f t="shared" si="51"/>
        <v>147559.38099236641</v>
      </c>
      <c r="E121" s="274">
        <v>120503.96</v>
      </c>
      <c r="F121" s="196">
        <f t="shared" ref="F121:F129" si="63">G121/1000</f>
        <v>77.894000000000005</v>
      </c>
      <c r="G121" s="191">
        <f t="shared" si="39"/>
        <v>77894</v>
      </c>
      <c r="H121" s="246">
        <f t="shared" si="35"/>
        <v>52788</v>
      </c>
      <c r="I121" s="200">
        <f>L121-52788</f>
        <v>103000</v>
      </c>
      <c r="J121" s="230">
        <f t="shared" ref="J121:J127" si="64">K121</f>
        <v>155.78800000000001</v>
      </c>
      <c r="K121" s="43">
        <f t="shared" si="54"/>
        <v>155.78800000000001</v>
      </c>
      <c r="L121" s="200">
        <v>155788</v>
      </c>
      <c r="M121" s="196">
        <f t="shared" si="48"/>
        <v>0</v>
      </c>
      <c r="N121" s="36"/>
      <c r="O121" s="43">
        <f t="shared" si="62"/>
        <v>0</v>
      </c>
      <c r="P121" s="251">
        <f t="shared" si="36"/>
        <v>0</v>
      </c>
      <c r="Q121" s="230">
        <f t="shared" ref="Q121:Q127" si="65">R121</f>
        <v>0</v>
      </c>
      <c r="R121" s="43">
        <f t="shared" si="56"/>
        <v>0</v>
      </c>
      <c r="S121" s="200"/>
      <c r="T121" s="266"/>
      <c r="U121" s="227">
        <f t="shared" si="44"/>
        <v>27055.420992366413</v>
      </c>
      <c r="V121" s="36">
        <f t="shared" si="57"/>
        <v>147.55938099236641</v>
      </c>
      <c r="W121" s="36">
        <f t="shared" si="58"/>
        <v>77.894000000000005</v>
      </c>
      <c r="X121" s="230">
        <f t="shared" si="59"/>
        <v>155.78800000000001</v>
      </c>
      <c r="Y121" s="43">
        <f t="shared" si="59"/>
        <v>155.78800000000001</v>
      </c>
      <c r="Z121" s="47"/>
      <c r="AA121" s="47"/>
    </row>
    <row r="122" spans="1:27" s="117" customFormat="1" ht="9.9499999999999993" customHeight="1" x14ac:dyDescent="0.15">
      <c r="A122" s="144" t="s">
        <v>317</v>
      </c>
      <c r="B122" s="215">
        <v>0.35</v>
      </c>
      <c r="C122" s="145">
        <f t="shared" si="55"/>
        <v>130.54754347328242</v>
      </c>
      <c r="D122" s="191">
        <f t="shared" si="51"/>
        <v>130547.54347328242</v>
      </c>
      <c r="E122" s="274">
        <v>35853.57</v>
      </c>
      <c r="F122" s="196">
        <f t="shared" si="63"/>
        <v>204.87950000000001</v>
      </c>
      <c r="G122" s="191">
        <f t="shared" si="39"/>
        <v>204879.5</v>
      </c>
      <c r="H122" s="246">
        <f t="shared" si="35"/>
        <v>184759</v>
      </c>
      <c r="I122" s="200">
        <f>L122-184759</f>
        <v>225000</v>
      </c>
      <c r="J122" s="230">
        <f t="shared" si="64"/>
        <v>409.75900000000001</v>
      </c>
      <c r="K122" s="43">
        <f t="shared" si="54"/>
        <v>409.75900000000001</v>
      </c>
      <c r="L122" s="200">
        <v>409759</v>
      </c>
      <c r="M122" s="196">
        <f t="shared" si="48"/>
        <v>0</v>
      </c>
      <c r="N122" s="36"/>
      <c r="O122" s="43">
        <f t="shared" si="62"/>
        <v>0</v>
      </c>
      <c r="P122" s="251">
        <f t="shared" si="36"/>
        <v>0</v>
      </c>
      <c r="Q122" s="230">
        <f t="shared" si="65"/>
        <v>0</v>
      </c>
      <c r="R122" s="43">
        <f t="shared" si="56"/>
        <v>0</v>
      </c>
      <c r="S122" s="200"/>
      <c r="T122" s="266"/>
      <c r="U122" s="227">
        <f t="shared" si="44"/>
        <v>94693.973473282429</v>
      </c>
      <c r="V122" s="36">
        <f t="shared" si="57"/>
        <v>130.54754347328242</v>
      </c>
      <c r="W122" s="36">
        <f t="shared" si="58"/>
        <v>204.87950000000001</v>
      </c>
      <c r="X122" s="230">
        <f t="shared" si="59"/>
        <v>409.75900000000001</v>
      </c>
      <c r="Y122" s="43">
        <f t="shared" si="59"/>
        <v>409.75900000000001</v>
      </c>
      <c r="Z122" s="47"/>
      <c r="AA122" s="47"/>
    </row>
    <row r="123" spans="1:27" s="117" customFormat="1" ht="9.9499999999999993" customHeight="1" x14ac:dyDescent="0.15">
      <c r="A123" s="144" t="s">
        <v>318</v>
      </c>
      <c r="B123" s="215">
        <v>0.05</v>
      </c>
      <c r="C123" s="145">
        <f t="shared" si="55"/>
        <v>87.626830496183203</v>
      </c>
      <c r="D123" s="191">
        <f t="shared" si="51"/>
        <v>87626.830496183204</v>
      </c>
      <c r="E123" s="274">
        <f>29319.55+44779.57</f>
        <v>74099.12</v>
      </c>
      <c r="F123" s="196">
        <f t="shared" si="63"/>
        <v>98.197000000000003</v>
      </c>
      <c r="G123" s="191">
        <f t="shared" si="39"/>
        <v>98197</v>
      </c>
      <c r="H123" s="246">
        <f t="shared" si="35"/>
        <v>26394</v>
      </c>
      <c r="I123" s="200">
        <f>L123-26394</f>
        <v>170000</v>
      </c>
      <c r="J123" s="230">
        <f t="shared" si="64"/>
        <v>196.39400000000001</v>
      </c>
      <c r="K123" s="43">
        <f t="shared" si="54"/>
        <v>196.39400000000001</v>
      </c>
      <c r="L123" s="200">
        <v>196394</v>
      </c>
      <c r="M123" s="196">
        <f t="shared" si="48"/>
        <v>-8.3000000000000007</v>
      </c>
      <c r="N123" s="36"/>
      <c r="O123" s="43">
        <f t="shared" si="62"/>
        <v>0</v>
      </c>
      <c r="P123" s="251">
        <f t="shared" si="36"/>
        <v>0</v>
      </c>
      <c r="Q123" s="230">
        <f t="shared" si="65"/>
        <v>0</v>
      </c>
      <c r="R123" s="43">
        <f t="shared" si="56"/>
        <v>0</v>
      </c>
      <c r="S123" s="200"/>
      <c r="T123" s="266">
        <v>8300</v>
      </c>
      <c r="U123" s="227">
        <f t="shared" si="44"/>
        <v>13527.710496183206</v>
      </c>
      <c r="V123" s="36">
        <f t="shared" si="57"/>
        <v>79.326830496183206</v>
      </c>
      <c r="W123" s="36">
        <f t="shared" si="58"/>
        <v>98.197000000000003</v>
      </c>
      <c r="X123" s="230">
        <f t="shared" si="59"/>
        <v>196.39400000000001</v>
      </c>
      <c r="Y123" s="43">
        <f t="shared" si="59"/>
        <v>196.39400000000001</v>
      </c>
      <c r="Z123" s="47"/>
      <c r="AA123" s="47"/>
    </row>
    <row r="124" spans="1:27" s="117" customFormat="1" ht="9.9499999999999993" customHeight="1" x14ac:dyDescent="0.15">
      <c r="A124" s="144" t="s">
        <v>344</v>
      </c>
      <c r="B124" s="215">
        <v>0.85</v>
      </c>
      <c r="C124" s="145">
        <f t="shared" si="55"/>
        <v>781.77478843511449</v>
      </c>
      <c r="D124" s="191">
        <f t="shared" si="51"/>
        <v>781774.78843511443</v>
      </c>
      <c r="E124" s="274">
        <v>551803.71</v>
      </c>
      <c r="F124" s="196">
        <f t="shared" si="63"/>
        <v>699.35</v>
      </c>
      <c r="G124" s="191">
        <f t="shared" si="39"/>
        <v>699350</v>
      </c>
      <c r="H124" s="246">
        <f t="shared" si="35"/>
        <v>448700</v>
      </c>
      <c r="I124" s="200">
        <f>L124-448700</f>
        <v>950000</v>
      </c>
      <c r="J124" s="230">
        <f t="shared" si="64"/>
        <v>1398.7</v>
      </c>
      <c r="K124" s="43">
        <f t="shared" si="54"/>
        <v>1398.7</v>
      </c>
      <c r="L124" s="200">
        <v>1398700</v>
      </c>
      <c r="M124" s="196">
        <f t="shared" si="48"/>
        <v>0</v>
      </c>
      <c r="N124" s="36"/>
      <c r="O124" s="43">
        <f t="shared" si="62"/>
        <v>0</v>
      </c>
      <c r="P124" s="251">
        <f t="shared" si="36"/>
        <v>0</v>
      </c>
      <c r="Q124" s="230">
        <f t="shared" si="65"/>
        <v>0</v>
      </c>
      <c r="R124" s="43">
        <f t="shared" si="56"/>
        <v>0</v>
      </c>
      <c r="S124" s="200"/>
      <c r="T124" s="266"/>
      <c r="U124" s="227">
        <f t="shared" si="44"/>
        <v>229971.0784351145</v>
      </c>
      <c r="V124" s="36">
        <f t="shared" si="57"/>
        <v>781.77478843511449</v>
      </c>
      <c r="W124" s="36">
        <f t="shared" si="58"/>
        <v>699.35</v>
      </c>
      <c r="X124" s="230">
        <f t="shared" si="59"/>
        <v>1398.7</v>
      </c>
      <c r="Y124" s="43">
        <f t="shared" si="59"/>
        <v>1398.7</v>
      </c>
      <c r="Z124" s="47"/>
      <c r="AA124" s="47"/>
    </row>
    <row r="125" spans="1:27" s="117" customFormat="1" ht="9.9499999999999993" customHeight="1" x14ac:dyDescent="0.15">
      <c r="A125" s="144" t="s">
        <v>319</v>
      </c>
      <c r="B125" s="215">
        <v>0.5</v>
      </c>
      <c r="C125" s="145">
        <f t="shared" si="55"/>
        <v>159.93983496183208</v>
      </c>
      <c r="D125" s="191">
        <f t="shared" si="51"/>
        <v>159939.83496183206</v>
      </c>
      <c r="E125" s="274">
        <v>24662.73</v>
      </c>
      <c r="F125" s="196">
        <f t="shared" si="63"/>
        <v>194.47049999999999</v>
      </c>
      <c r="G125" s="191">
        <f t="shared" si="39"/>
        <v>194470.5</v>
      </c>
      <c r="H125" s="246">
        <f t="shared" si="35"/>
        <v>263941</v>
      </c>
      <c r="I125" s="200">
        <f>L125-263941</f>
        <v>125000</v>
      </c>
      <c r="J125" s="230">
        <f t="shared" si="64"/>
        <v>388.94099999999997</v>
      </c>
      <c r="K125" s="43">
        <f t="shared" si="54"/>
        <v>388.94099999999997</v>
      </c>
      <c r="L125" s="200">
        <v>388941</v>
      </c>
      <c r="M125" s="196">
        <f t="shared" si="48"/>
        <v>0</v>
      </c>
      <c r="N125" s="36"/>
      <c r="O125" s="43">
        <f t="shared" si="62"/>
        <v>0</v>
      </c>
      <c r="P125" s="251">
        <f t="shared" si="36"/>
        <v>0</v>
      </c>
      <c r="Q125" s="230">
        <f t="shared" si="65"/>
        <v>0</v>
      </c>
      <c r="R125" s="43">
        <f t="shared" si="56"/>
        <v>0</v>
      </c>
      <c r="S125" s="200"/>
      <c r="T125" s="266"/>
      <c r="U125" s="227">
        <f t="shared" si="44"/>
        <v>135277.10496183205</v>
      </c>
      <c r="V125" s="36">
        <f t="shared" si="57"/>
        <v>159.93983496183208</v>
      </c>
      <c r="W125" s="36">
        <f t="shared" si="58"/>
        <v>194.47049999999999</v>
      </c>
      <c r="X125" s="230">
        <f t="shared" si="59"/>
        <v>388.94099999999997</v>
      </c>
      <c r="Y125" s="43">
        <f t="shared" si="59"/>
        <v>388.94099999999997</v>
      </c>
      <c r="Z125" s="47"/>
      <c r="AA125" s="47"/>
    </row>
    <row r="126" spans="1:27" s="117" customFormat="1" ht="9.9499999999999993" customHeight="1" x14ac:dyDescent="0.15">
      <c r="A126" s="144" t="s">
        <v>320</v>
      </c>
      <c r="B126" s="215">
        <v>1.1599999999999999</v>
      </c>
      <c r="C126" s="145">
        <f t="shared" si="55"/>
        <v>350.23155351145027</v>
      </c>
      <c r="D126" s="191">
        <f t="shared" si="51"/>
        <v>350231.5535114503</v>
      </c>
      <c r="E126" s="274">
        <v>36388.67</v>
      </c>
      <c r="F126" s="196">
        <f t="shared" si="63"/>
        <v>368.67200000000003</v>
      </c>
      <c r="G126" s="191">
        <f t="shared" si="39"/>
        <v>368672</v>
      </c>
      <c r="H126" s="246">
        <f t="shared" si="35"/>
        <v>612344</v>
      </c>
      <c r="I126" s="200">
        <f>L126-612344</f>
        <v>125000</v>
      </c>
      <c r="J126" s="230">
        <f t="shared" si="64"/>
        <v>737.34400000000005</v>
      </c>
      <c r="K126" s="43">
        <f t="shared" si="54"/>
        <v>737.34400000000005</v>
      </c>
      <c r="L126" s="200">
        <v>737344</v>
      </c>
      <c r="M126" s="196">
        <f t="shared" si="48"/>
        <v>0</v>
      </c>
      <c r="N126" s="36"/>
      <c r="O126" s="43">
        <f t="shared" si="62"/>
        <v>-25</v>
      </c>
      <c r="P126" s="251">
        <f t="shared" si="36"/>
        <v>25000</v>
      </c>
      <c r="Q126" s="230">
        <f t="shared" si="65"/>
        <v>-50</v>
      </c>
      <c r="R126" s="43">
        <f t="shared" si="56"/>
        <v>-50</v>
      </c>
      <c r="S126" s="200">
        <v>50000</v>
      </c>
      <c r="T126" s="266"/>
      <c r="U126" s="227">
        <f t="shared" si="44"/>
        <v>313842.88351145032</v>
      </c>
      <c r="V126" s="36">
        <f t="shared" si="57"/>
        <v>350.23155351145027</v>
      </c>
      <c r="W126" s="36">
        <f t="shared" si="58"/>
        <v>343.67200000000003</v>
      </c>
      <c r="X126" s="230">
        <f t="shared" si="59"/>
        <v>687.34400000000005</v>
      </c>
      <c r="Y126" s="43">
        <f t="shared" si="59"/>
        <v>687.34400000000005</v>
      </c>
      <c r="Z126" s="47"/>
      <c r="AA126" s="47"/>
    </row>
    <row r="127" spans="1:27" s="117" customFormat="1" ht="9.9499999999999993" customHeight="1" x14ac:dyDescent="0.15">
      <c r="A127" s="144" t="s">
        <v>322</v>
      </c>
      <c r="B127" s="215">
        <v>0.55000000000000004</v>
      </c>
      <c r="C127" s="145">
        <f t="shared" si="55"/>
        <v>199.63040545801528</v>
      </c>
      <c r="D127" s="191">
        <f t="shared" si="51"/>
        <v>199630.40545801527</v>
      </c>
      <c r="E127" s="274">
        <v>50825.59</v>
      </c>
      <c r="F127" s="196">
        <f t="shared" si="63"/>
        <v>195.16800000000001</v>
      </c>
      <c r="G127" s="191">
        <f t="shared" si="39"/>
        <v>195168</v>
      </c>
      <c r="H127" s="246">
        <f t="shared" si="35"/>
        <v>290336</v>
      </c>
      <c r="I127" s="200">
        <f>L127-290336</f>
        <v>100000</v>
      </c>
      <c r="J127" s="230">
        <f t="shared" si="64"/>
        <v>390.33600000000001</v>
      </c>
      <c r="K127" s="43">
        <f t="shared" si="54"/>
        <v>390.33600000000001</v>
      </c>
      <c r="L127" s="200">
        <v>390336</v>
      </c>
      <c r="M127" s="196">
        <f t="shared" si="48"/>
        <v>0</v>
      </c>
      <c r="N127" s="36"/>
      <c r="O127" s="43">
        <f t="shared" si="62"/>
        <v>0</v>
      </c>
      <c r="P127" s="251">
        <f t="shared" si="36"/>
        <v>0</v>
      </c>
      <c r="Q127" s="230">
        <f t="shared" si="65"/>
        <v>0</v>
      </c>
      <c r="R127" s="43">
        <f t="shared" si="56"/>
        <v>0</v>
      </c>
      <c r="S127" s="200"/>
      <c r="T127" s="266"/>
      <c r="U127" s="227">
        <f t="shared" si="44"/>
        <v>148804.81545801528</v>
      </c>
      <c r="V127" s="36">
        <f t="shared" si="57"/>
        <v>199.63040545801528</v>
      </c>
      <c r="W127" s="36">
        <f t="shared" si="58"/>
        <v>195.16800000000001</v>
      </c>
      <c r="X127" s="230">
        <f t="shared" si="59"/>
        <v>390.33600000000001</v>
      </c>
      <c r="Y127" s="43">
        <f t="shared" si="59"/>
        <v>390.33600000000001</v>
      </c>
      <c r="Z127" s="47"/>
      <c r="AA127" s="47"/>
    </row>
    <row r="128" spans="1:27" s="117" customFormat="1" ht="9.9499999999999993" hidden="1" customHeight="1" x14ac:dyDescent="0.15">
      <c r="A128" s="144"/>
      <c r="B128" s="215"/>
      <c r="C128" s="145">
        <f t="shared" si="55"/>
        <v>0</v>
      </c>
      <c r="D128" s="41">
        <f t="shared" si="51"/>
        <v>0</v>
      </c>
      <c r="E128" s="274"/>
      <c r="F128" s="196">
        <f t="shared" si="63"/>
        <v>0</v>
      </c>
      <c r="G128" s="191">
        <f t="shared" si="39"/>
        <v>0</v>
      </c>
      <c r="H128" s="246">
        <f t="shared" si="35"/>
        <v>0</v>
      </c>
      <c r="I128" s="200">
        <f t="shared" si="50"/>
        <v>0</v>
      </c>
      <c r="J128" s="230"/>
      <c r="K128" s="43">
        <f t="shared" si="54"/>
        <v>0</v>
      </c>
      <c r="L128" s="200"/>
      <c r="M128" s="196">
        <f t="shared" si="48"/>
        <v>0</v>
      </c>
      <c r="N128" s="36"/>
      <c r="O128" s="43">
        <f t="shared" si="62"/>
        <v>0</v>
      </c>
      <c r="P128" s="251">
        <f t="shared" si="36"/>
        <v>0</v>
      </c>
      <c r="Q128" s="230">
        <v>0</v>
      </c>
      <c r="R128" s="43">
        <f t="shared" si="56"/>
        <v>0</v>
      </c>
      <c r="S128" s="200"/>
      <c r="T128" s="266"/>
      <c r="U128" s="210">
        <f t="shared" si="44"/>
        <v>0</v>
      </c>
      <c r="V128" s="36">
        <f>C128+M128</f>
        <v>0</v>
      </c>
      <c r="W128" s="36">
        <f t="shared" si="58"/>
        <v>0</v>
      </c>
      <c r="X128" s="230">
        <f t="shared" si="59"/>
        <v>0</v>
      </c>
      <c r="Y128" s="43">
        <f t="shared" si="59"/>
        <v>0</v>
      </c>
      <c r="Z128" s="47"/>
      <c r="AA128" s="47"/>
    </row>
    <row r="129" spans="1:27" s="117" customFormat="1" ht="9" hidden="1" customHeight="1" x14ac:dyDescent="0.15">
      <c r="A129" s="144"/>
      <c r="B129" s="215"/>
      <c r="C129" s="140"/>
      <c r="D129" s="41">
        <f t="shared" si="51"/>
        <v>0</v>
      </c>
      <c r="E129" s="274"/>
      <c r="F129" s="196">
        <f t="shared" si="63"/>
        <v>0</v>
      </c>
      <c r="G129" s="191">
        <f t="shared" si="39"/>
        <v>0</v>
      </c>
      <c r="H129" s="246">
        <f t="shared" si="35"/>
        <v>0</v>
      </c>
      <c r="I129" s="200">
        <f t="shared" si="50"/>
        <v>0</v>
      </c>
      <c r="J129" s="230"/>
      <c r="K129" s="41">
        <f t="shared" si="54"/>
        <v>0</v>
      </c>
      <c r="L129" s="200"/>
      <c r="M129" s="195">
        <f t="shared" si="48"/>
        <v>0</v>
      </c>
      <c r="N129" s="36"/>
      <c r="O129" s="43"/>
      <c r="P129" s="251">
        <f t="shared" si="36"/>
        <v>0</v>
      </c>
      <c r="Q129" s="230"/>
      <c r="R129" s="43"/>
      <c r="S129" s="200"/>
      <c r="T129" s="266"/>
      <c r="U129" s="210">
        <f t="shared" si="44"/>
        <v>0</v>
      </c>
      <c r="V129" s="36"/>
      <c r="W129" s="36"/>
      <c r="X129" s="230"/>
      <c r="Y129" s="41"/>
      <c r="Z129" s="47"/>
      <c r="AA129" s="47"/>
    </row>
    <row r="130" spans="1:27" s="179" customFormat="1" x14ac:dyDescent="0.15">
      <c r="A130" s="168" t="s">
        <v>84</v>
      </c>
      <c r="B130" s="216">
        <f>B131+B132+B133+B134+B136+B135</f>
        <v>6.2</v>
      </c>
      <c r="C130" s="170">
        <f t="shared" ref="C130" si="66">D130/1000</f>
        <v>4919.8279015267171</v>
      </c>
      <c r="D130" s="41">
        <f t="shared" si="51"/>
        <v>4919827.9015267175</v>
      </c>
      <c r="E130" s="195">
        <f>SUM(E131:E136)</f>
        <v>3242391.8</v>
      </c>
      <c r="F130" s="191">
        <f t="shared" si="43"/>
        <v>4261.4364999999998</v>
      </c>
      <c r="G130" s="191">
        <f t="shared" si="39"/>
        <v>4261436.5</v>
      </c>
      <c r="H130" s="256">
        <f t="shared" si="35"/>
        <v>3272873</v>
      </c>
      <c r="I130" s="198">
        <f>SUM(I131:I134)</f>
        <v>5250000</v>
      </c>
      <c r="J130" s="191">
        <f>SUM(J131:J136)</f>
        <v>8522.8729999999996</v>
      </c>
      <c r="K130" s="191">
        <f t="shared" si="54"/>
        <v>8522.8729999999996</v>
      </c>
      <c r="L130" s="191">
        <f>SUM(L131:L136)</f>
        <v>8522873</v>
      </c>
      <c r="M130" s="191">
        <f t="shared" si="48"/>
        <v>-731.65344999999991</v>
      </c>
      <c r="N130" s="171">
        <f>N131+N132+N133+N134+N136</f>
        <v>0</v>
      </c>
      <c r="O130" s="171">
        <f t="shared" ref="O130:O134" si="67">P130/1000*-1</f>
        <v>-500</v>
      </c>
      <c r="P130" s="251">
        <f t="shared" si="36"/>
        <v>500000</v>
      </c>
      <c r="Q130" s="191">
        <f>Q131+Q132+Q133+Q134+Q136</f>
        <v>-1000</v>
      </c>
      <c r="R130" s="171">
        <f t="shared" ref="R130:R134" si="68">S130/1000*-1</f>
        <v>-1000</v>
      </c>
      <c r="S130" s="191">
        <f>SUM(S131:S137)</f>
        <v>1000000</v>
      </c>
      <c r="T130" s="201">
        <f>T131+T132+T133+T134+T136</f>
        <v>731653.45</v>
      </c>
      <c r="U130" s="210">
        <f>SUM(U131:U134)</f>
        <v>1677436.1015267177</v>
      </c>
      <c r="V130" s="173">
        <f t="shared" ref="V130:V135" si="69">C130+M130</f>
        <v>4188.1744515267173</v>
      </c>
      <c r="W130" s="173">
        <f t="shared" ref="W130:W135" si="70">F130+O130</f>
        <v>3761.4364999999998</v>
      </c>
      <c r="X130" s="198">
        <f>J130+Q130</f>
        <v>7522.8729999999996</v>
      </c>
      <c r="Y130" s="171">
        <f t="shared" ref="Y130:Y136" si="71">K130+R130</f>
        <v>7522.8729999999996</v>
      </c>
      <c r="Z130" s="174"/>
      <c r="AA130" s="174"/>
    </row>
    <row r="131" spans="1:27" s="117" customFormat="1" ht="9.9499999999999993" customHeight="1" x14ac:dyDescent="0.15">
      <c r="A131" s="142" t="s">
        <v>323</v>
      </c>
      <c r="B131" s="212">
        <v>1.1499999999999999</v>
      </c>
      <c r="C131" s="145">
        <f>D131/1000</f>
        <v>692.32016141221368</v>
      </c>
      <c r="D131" s="191">
        <f t="shared" si="51"/>
        <v>692320.1614122137</v>
      </c>
      <c r="E131" s="273">
        <v>381182.82</v>
      </c>
      <c r="F131" s="196">
        <f t="shared" si="43"/>
        <v>503.53250000000003</v>
      </c>
      <c r="G131" s="191">
        <f t="shared" si="39"/>
        <v>503532.5</v>
      </c>
      <c r="H131" s="246">
        <f t="shared" si="35"/>
        <v>607065</v>
      </c>
      <c r="I131" s="200">
        <f>L131-607065</f>
        <v>400000</v>
      </c>
      <c r="J131" s="230">
        <f>K131</f>
        <v>1007.0650000000001</v>
      </c>
      <c r="K131" s="43">
        <f t="shared" si="54"/>
        <v>1007.0650000000001</v>
      </c>
      <c r="L131" s="200">
        <v>1007065</v>
      </c>
      <c r="M131" s="196">
        <f t="shared" si="48"/>
        <v>0</v>
      </c>
      <c r="N131" s="33"/>
      <c r="O131" s="43">
        <f t="shared" si="67"/>
        <v>0</v>
      </c>
      <c r="P131" s="251">
        <f t="shared" si="36"/>
        <v>0</v>
      </c>
      <c r="Q131" s="230">
        <f>R131</f>
        <v>0</v>
      </c>
      <c r="R131" s="43">
        <f t="shared" si="68"/>
        <v>0</v>
      </c>
      <c r="S131" s="200"/>
      <c r="T131" s="266"/>
      <c r="U131" s="227">
        <f t="shared" si="44"/>
        <v>311137.34141221369</v>
      </c>
      <c r="V131" s="36">
        <f t="shared" si="69"/>
        <v>692.32016141221368</v>
      </c>
      <c r="W131" s="36">
        <f t="shared" si="70"/>
        <v>503.53250000000003</v>
      </c>
      <c r="X131" s="230">
        <f t="shared" ref="X131:X136" si="72">J131+Q131</f>
        <v>1007.0650000000001</v>
      </c>
      <c r="Y131" s="43">
        <f t="shared" si="71"/>
        <v>1007.0650000000001</v>
      </c>
      <c r="Z131" s="47"/>
      <c r="AA131" s="47"/>
    </row>
    <row r="132" spans="1:27" s="117" customFormat="1" ht="9.9499999999999993" customHeight="1" x14ac:dyDescent="0.15">
      <c r="A132" s="142" t="s">
        <v>324</v>
      </c>
      <c r="B132" s="212">
        <v>2.2000000000000002</v>
      </c>
      <c r="C132" s="145">
        <f t="shared" ref="C132:C134" si="73">D132/1000</f>
        <v>642.79817183206114</v>
      </c>
      <c r="D132" s="191">
        <f t="shared" si="51"/>
        <v>642798.17183206114</v>
      </c>
      <c r="E132" s="273">
        <f>42580.98+4997.93</f>
        <v>47578.91</v>
      </c>
      <c r="F132" s="196">
        <f t="shared" si="43"/>
        <v>630.67100000000005</v>
      </c>
      <c r="G132" s="191">
        <f t="shared" si="39"/>
        <v>630671</v>
      </c>
      <c r="H132" s="246">
        <f t="shared" si="35"/>
        <v>1161342</v>
      </c>
      <c r="I132" s="200">
        <f>L132-1161342</f>
        <v>100000</v>
      </c>
      <c r="J132" s="230">
        <f t="shared" ref="J132:J134" si="74">K132</f>
        <v>1261.3420000000001</v>
      </c>
      <c r="K132" s="43">
        <f t="shared" si="54"/>
        <v>1261.3420000000001</v>
      </c>
      <c r="L132" s="200">
        <v>1261342</v>
      </c>
      <c r="M132" s="196">
        <f t="shared" si="48"/>
        <v>0</v>
      </c>
      <c r="N132" s="33"/>
      <c r="O132" s="43">
        <f t="shared" si="67"/>
        <v>0</v>
      </c>
      <c r="P132" s="251">
        <f t="shared" si="36"/>
        <v>0</v>
      </c>
      <c r="Q132" s="230">
        <f t="shared" ref="Q132:Q137" si="75">R132</f>
        <v>0</v>
      </c>
      <c r="R132" s="43">
        <f t="shared" si="68"/>
        <v>0</v>
      </c>
      <c r="S132" s="200"/>
      <c r="T132" s="266"/>
      <c r="U132" s="227">
        <f t="shared" si="44"/>
        <v>595219.26183206111</v>
      </c>
      <c r="V132" s="36">
        <f t="shared" si="69"/>
        <v>642.79817183206114</v>
      </c>
      <c r="W132" s="36">
        <f t="shared" si="70"/>
        <v>630.67100000000005</v>
      </c>
      <c r="X132" s="230">
        <f t="shared" si="72"/>
        <v>1261.3420000000001</v>
      </c>
      <c r="Y132" s="43">
        <f t="shared" si="71"/>
        <v>1261.3420000000001</v>
      </c>
      <c r="Z132" s="47"/>
      <c r="AA132" s="47"/>
    </row>
    <row r="133" spans="1:27" s="117" customFormat="1" ht="9.9499999999999993" customHeight="1" x14ac:dyDescent="0.15">
      <c r="A133" s="142" t="s">
        <v>329</v>
      </c>
      <c r="B133" s="212">
        <v>1.55</v>
      </c>
      <c r="C133" s="145">
        <f t="shared" si="73"/>
        <v>765.67929538167948</v>
      </c>
      <c r="D133" s="191">
        <f t="shared" si="51"/>
        <v>765679.29538167943</v>
      </c>
      <c r="E133" s="273">
        <f>211862.37+134457.9</f>
        <v>346320.27</v>
      </c>
      <c r="F133" s="196">
        <f t="shared" si="43"/>
        <v>584.10900000000004</v>
      </c>
      <c r="G133" s="191">
        <f t="shared" si="39"/>
        <v>584109</v>
      </c>
      <c r="H133" s="246">
        <f t="shared" si="35"/>
        <v>818218</v>
      </c>
      <c r="I133" s="200">
        <f>L133-818218</f>
        <v>350000</v>
      </c>
      <c r="J133" s="230">
        <f t="shared" si="74"/>
        <v>1168.2180000000001</v>
      </c>
      <c r="K133" s="43">
        <f t="shared" si="54"/>
        <v>1168.2180000000001</v>
      </c>
      <c r="L133" s="200">
        <v>1168218</v>
      </c>
      <c r="M133" s="196">
        <f t="shared" si="48"/>
        <v>0</v>
      </c>
      <c r="N133" s="33"/>
      <c r="O133" s="43">
        <f t="shared" si="67"/>
        <v>0</v>
      </c>
      <c r="P133" s="251">
        <f t="shared" si="36"/>
        <v>0</v>
      </c>
      <c r="Q133" s="230">
        <f t="shared" si="75"/>
        <v>0</v>
      </c>
      <c r="R133" s="43">
        <f t="shared" si="68"/>
        <v>0</v>
      </c>
      <c r="S133" s="200"/>
      <c r="T133" s="266"/>
      <c r="U133" s="227">
        <f t="shared" si="44"/>
        <v>419359.02538167936</v>
      </c>
      <c r="V133" s="36">
        <f t="shared" si="69"/>
        <v>765.67929538167948</v>
      </c>
      <c r="W133" s="36">
        <f t="shared" si="70"/>
        <v>584.10900000000004</v>
      </c>
      <c r="X133" s="230">
        <f t="shared" si="72"/>
        <v>1168.2180000000001</v>
      </c>
      <c r="Y133" s="43">
        <f t="shared" si="71"/>
        <v>1168.2180000000001</v>
      </c>
      <c r="Z133" s="47"/>
      <c r="AA133" s="47"/>
    </row>
    <row r="134" spans="1:27" s="117" customFormat="1" ht="9.9499999999999993" customHeight="1" x14ac:dyDescent="0.15">
      <c r="A134" s="142" t="s">
        <v>325</v>
      </c>
      <c r="B134" s="212">
        <v>1.3</v>
      </c>
      <c r="C134" s="145">
        <f t="shared" si="73"/>
        <v>2819.0302729007631</v>
      </c>
      <c r="D134" s="191">
        <f t="shared" si="51"/>
        <v>2819030.272900763</v>
      </c>
      <c r="E134" s="273">
        <f>2467309.8</f>
        <v>2467309.7999999998</v>
      </c>
      <c r="F134" s="196">
        <f t="shared" si="43"/>
        <v>2543.1239999999998</v>
      </c>
      <c r="G134" s="191">
        <f t="shared" si="39"/>
        <v>2543124</v>
      </c>
      <c r="H134" s="246">
        <f t="shared" si="35"/>
        <v>686248</v>
      </c>
      <c r="I134" s="200">
        <f>L134-686248</f>
        <v>4400000</v>
      </c>
      <c r="J134" s="230">
        <f t="shared" si="74"/>
        <v>5086.2479999999996</v>
      </c>
      <c r="K134" s="43">
        <f t="shared" si="54"/>
        <v>5086.2479999999996</v>
      </c>
      <c r="L134" s="200">
        <v>5086248</v>
      </c>
      <c r="M134" s="196">
        <f t="shared" si="48"/>
        <v>-731.65344999999991</v>
      </c>
      <c r="N134" s="33"/>
      <c r="O134" s="43">
        <f t="shared" si="67"/>
        <v>-500</v>
      </c>
      <c r="P134" s="251">
        <f t="shared" si="36"/>
        <v>500000</v>
      </c>
      <c r="Q134" s="230">
        <f t="shared" si="75"/>
        <v>-1000</v>
      </c>
      <c r="R134" s="43">
        <f t="shared" si="68"/>
        <v>-1000</v>
      </c>
      <c r="S134" s="200">
        <v>1000000</v>
      </c>
      <c r="T134" s="266">
        <f>1206+639659.95+90787.5</f>
        <v>731653.45</v>
      </c>
      <c r="U134" s="227">
        <f t="shared" si="44"/>
        <v>351720.47290076333</v>
      </c>
      <c r="V134" s="36">
        <f t="shared" si="69"/>
        <v>2087.3768229007633</v>
      </c>
      <c r="W134" s="36">
        <f t="shared" si="70"/>
        <v>2043.1239999999998</v>
      </c>
      <c r="X134" s="230">
        <f t="shared" si="72"/>
        <v>4086.2479999999996</v>
      </c>
      <c r="Y134" s="43">
        <f t="shared" si="71"/>
        <v>4086.2479999999996</v>
      </c>
      <c r="Z134" s="47"/>
      <c r="AA134" s="47"/>
    </row>
    <row r="135" spans="1:27" s="117" customFormat="1" ht="9.9499999999999993" hidden="1" customHeight="1" x14ac:dyDescent="0.15">
      <c r="A135" s="142">
        <v>0</v>
      </c>
      <c r="B135" s="212">
        <v>0</v>
      </c>
      <c r="C135" s="145"/>
      <c r="D135" s="41">
        <f t="shared" si="51"/>
        <v>0</v>
      </c>
      <c r="E135" s="273"/>
      <c r="F135" s="196">
        <f t="shared" si="43"/>
        <v>0</v>
      </c>
      <c r="G135" s="191">
        <f t="shared" si="39"/>
        <v>0</v>
      </c>
      <c r="H135" s="246">
        <f t="shared" si="35"/>
        <v>0</v>
      </c>
      <c r="I135" s="200">
        <f t="shared" si="50"/>
        <v>0</v>
      </c>
      <c r="J135" s="230"/>
      <c r="K135" s="43">
        <f t="shared" si="54"/>
        <v>0</v>
      </c>
      <c r="L135" s="198"/>
      <c r="M135" s="196">
        <f t="shared" si="48"/>
        <v>0</v>
      </c>
      <c r="N135" s="33"/>
      <c r="O135" s="41"/>
      <c r="P135" s="251">
        <f t="shared" si="36"/>
        <v>0</v>
      </c>
      <c r="Q135" s="230">
        <f t="shared" si="75"/>
        <v>0</v>
      </c>
      <c r="R135" s="41"/>
      <c r="S135" s="198"/>
      <c r="T135" s="265"/>
      <c r="U135" s="210">
        <f t="shared" si="44"/>
        <v>0</v>
      </c>
      <c r="V135" s="36">
        <f t="shared" si="69"/>
        <v>0</v>
      </c>
      <c r="W135" s="36">
        <f t="shared" si="70"/>
        <v>0</v>
      </c>
      <c r="X135" s="230">
        <f t="shared" si="72"/>
        <v>0</v>
      </c>
      <c r="Y135" s="43">
        <f t="shared" si="71"/>
        <v>0</v>
      </c>
      <c r="Z135" s="47"/>
      <c r="AA135" s="47"/>
    </row>
    <row r="136" spans="1:27" s="117" customFormat="1" ht="9.9499999999999993" hidden="1" customHeight="1" x14ac:dyDescent="0.15">
      <c r="A136" s="142"/>
      <c r="B136" s="212"/>
      <c r="C136" s="145"/>
      <c r="D136" s="41"/>
      <c r="E136" s="273"/>
      <c r="F136" s="196"/>
      <c r="G136" s="191">
        <f t="shared" si="39"/>
        <v>0</v>
      </c>
      <c r="H136" s="246">
        <f t="shared" si="35"/>
        <v>0</v>
      </c>
      <c r="I136" s="200">
        <f t="shared" si="50"/>
        <v>0</v>
      </c>
      <c r="J136" s="230"/>
      <c r="K136" s="43"/>
      <c r="L136" s="198"/>
      <c r="M136" s="196"/>
      <c r="N136" s="33"/>
      <c r="O136" s="43"/>
      <c r="P136" s="251">
        <f t="shared" si="36"/>
        <v>0</v>
      </c>
      <c r="Q136" s="230">
        <f t="shared" si="75"/>
        <v>0</v>
      </c>
      <c r="R136" s="43"/>
      <c r="S136" s="198"/>
      <c r="T136" s="265"/>
      <c r="U136" s="210">
        <f t="shared" si="44"/>
        <v>0</v>
      </c>
      <c r="V136" s="36"/>
      <c r="W136" s="36"/>
      <c r="X136" s="230">
        <f t="shared" si="72"/>
        <v>0</v>
      </c>
      <c r="Y136" s="43">
        <f t="shared" si="71"/>
        <v>0</v>
      </c>
      <c r="Z136" s="47"/>
      <c r="AA136" s="47"/>
    </row>
    <row r="137" spans="1:27" s="117" customFormat="1" ht="9" hidden="1" customHeight="1" x14ac:dyDescent="0.15">
      <c r="A137" s="152"/>
      <c r="B137" s="212"/>
      <c r="C137" s="140"/>
      <c r="D137" s="41">
        <f t="shared" si="51"/>
        <v>0</v>
      </c>
      <c r="E137" s="273"/>
      <c r="F137" s="195">
        <f t="shared" si="43"/>
        <v>0</v>
      </c>
      <c r="G137" s="191">
        <f t="shared" si="39"/>
        <v>0</v>
      </c>
      <c r="H137" s="246">
        <f t="shared" si="35"/>
        <v>0</v>
      </c>
      <c r="I137" s="200">
        <f t="shared" si="50"/>
        <v>0</v>
      </c>
      <c r="J137" s="231"/>
      <c r="K137" s="41">
        <f t="shared" si="54"/>
        <v>0</v>
      </c>
      <c r="L137" s="198"/>
      <c r="M137" s="195">
        <f t="shared" si="48"/>
        <v>0</v>
      </c>
      <c r="N137" s="33"/>
      <c r="O137" s="41"/>
      <c r="P137" s="251">
        <f t="shared" si="36"/>
        <v>0</v>
      </c>
      <c r="Q137" s="230">
        <f t="shared" si="75"/>
        <v>0</v>
      </c>
      <c r="R137" s="41"/>
      <c r="S137" s="198"/>
      <c r="T137" s="265"/>
      <c r="U137" s="210">
        <f t="shared" si="44"/>
        <v>0</v>
      </c>
      <c r="V137" s="33"/>
      <c r="W137" s="33"/>
      <c r="X137" s="230"/>
      <c r="Y137" s="41"/>
      <c r="Z137" s="47"/>
      <c r="AA137" s="47"/>
    </row>
    <row r="138" spans="1:27" s="179" customFormat="1" x14ac:dyDescent="0.15">
      <c r="A138" s="168" t="s">
        <v>85</v>
      </c>
      <c r="B138" s="216">
        <f>B139+B141+B140+B142+B143</f>
        <v>11.13</v>
      </c>
      <c r="C138" s="170">
        <f t="shared" ref="C138:C150" si="76">D138/1000</f>
        <v>15194.029306450382</v>
      </c>
      <c r="D138" s="41">
        <f t="shared" si="51"/>
        <v>15194029.306450382</v>
      </c>
      <c r="E138" s="195">
        <f>SUM(E139:E143)</f>
        <v>12182760.950000001</v>
      </c>
      <c r="F138" s="191">
        <f t="shared" si="43"/>
        <v>12983.3675</v>
      </c>
      <c r="G138" s="191">
        <f t="shared" si="39"/>
        <v>12983367.5</v>
      </c>
      <c r="H138" s="256">
        <f t="shared" ref="H138:H155" si="77">L138-I138</f>
        <v>5875335</v>
      </c>
      <c r="I138" s="198">
        <f>SUM(I139:I143)</f>
        <v>20091400</v>
      </c>
      <c r="J138" s="191">
        <f>SUM(J139:J143)</f>
        <v>25966.735000000001</v>
      </c>
      <c r="K138" s="191">
        <f t="shared" si="54"/>
        <v>25966.735000000001</v>
      </c>
      <c r="L138" s="191">
        <f>SUM(L139:L143)</f>
        <v>25966735</v>
      </c>
      <c r="M138" s="191">
        <f>T138/1000*-1</f>
        <v>-33570.58728</v>
      </c>
      <c r="N138" s="171">
        <f>N139+N141+N140+N142</f>
        <v>0</v>
      </c>
      <c r="O138" s="171">
        <f t="shared" ref="O138:O150" si="78">P138/1000*-1</f>
        <v>-35150</v>
      </c>
      <c r="P138" s="251">
        <f t="shared" ref="P138:P157" si="79">S138/2</f>
        <v>35150000</v>
      </c>
      <c r="Q138" s="191">
        <f>SUM(Q139:Q143)</f>
        <v>-70300</v>
      </c>
      <c r="R138" s="171">
        <f t="shared" ref="R138:R150" si="80">S138/1000*-1</f>
        <v>-70300</v>
      </c>
      <c r="S138" s="191">
        <f>SUM(S139:S143)</f>
        <v>70300000</v>
      </c>
      <c r="T138" s="191">
        <f>SUM(T139:T143)</f>
        <v>33570587.280000001</v>
      </c>
      <c r="U138" s="210">
        <f>SUM(U139:U143)</f>
        <v>3011268.3564503817</v>
      </c>
      <c r="V138" s="173">
        <f t="shared" ref="V138:V150" si="81">C138+M138</f>
        <v>-18376.557973549618</v>
      </c>
      <c r="W138" s="173">
        <f t="shared" ref="W138:W150" si="82">F138+O138</f>
        <v>-22166.6325</v>
      </c>
      <c r="X138" s="198">
        <f t="shared" ref="X138:Y150" si="83">J138+Q138</f>
        <v>-44333.264999999999</v>
      </c>
      <c r="Y138" s="171">
        <f t="shared" si="83"/>
        <v>-44333.264999999999</v>
      </c>
      <c r="Z138" s="174"/>
      <c r="AA138" s="174"/>
    </row>
    <row r="139" spans="1:27" s="118" customFormat="1" ht="9.9499999999999993" customHeight="1" x14ac:dyDescent="0.15">
      <c r="A139" s="152" t="s">
        <v>326</v>
      </c>
      <c r="B139" s="212">
        <f>3.2-0.15</f>
        <v>3.0500000000000003</v>
      </c>
      <c r="C139" s="145">
        <f t="shared" si="76"/>
        <v>6104.7180802671764</v>
      </c>
      <c r="D139" s="260">
        <f t="shared" si="51"/>
        <v>6104718.080267176</v>
      </c>
      <c r="E139" s="274">
        <f>1538662.29+304121.11+2060967.67+694674.76+26800+654301.91</f>
        <v>5279527.74</v>
      </c>
      <c r="F139" s="196">
        <f t="shared" si="43"/>
        <v>5227.0375000000004</v>
      </c>
      <c r="G139" s="191">
        <f t="shared" si="39"/>
        <v>5227037.5</v>
      </c>
      <c r="H139" s="246">
        <f t="shared" si="77"/>
        <v>1689225</v>
      </c>
      <c r="I139" s="200">
        <f>L139-1689225</f>
        <v>8764850</v>
      </c>
      <c r="J139" s="230">
        <f>K139</f>
        <v>10454.075000000001</v>
      </c>
      <c r="K139" s="43">
        <f t="shared" si="54"/>
        <v>10454.075000000001</v>
      </c>
      <c r="L139" s="200">
        <v>10454075</v>
      </c>
      <c r="M139" s="196">
        <f t="shared" si="48"/>
        <v>-29223.890489999998</v>
      </c>
      <c r="N139" s="36"/>
      <c r="O139" s="43">
        <f t="shared" si="78"/>
        <v>-30050</v>
      </c>
      <c r="P139" s="251">
        <f t="shared" si="79"/>
        <v>30050000</v>
      </c>
      <c r="Q139" s="230">
        <f>R139</f>
        <v>-60100</v>
      </c>
      <c r="R139" s="43">
        <f t="shared" si="80"/>
        <v>-60100</v>
      </c>
      <c r="S139" s="200">
        <v>60100000</v>
      </c>
      <c r="T139" s="266">
        <f>29223890.49</f>
        <v>29223890.489999998</v>
      </c>
      <c r="U139" s="227">
        <f t="shared" si="44"/>
        <v>825190.34026717558</v>
      </c>
      <c r="V139" s="36">
        <f t="shared" si="81"/>
        <v>-23119.172409732822</v>
      </c>
      <c r="W139" s="36">
        <f t="shared" si="82"/>
        <v>-24822.962500000001</v>
      </c>
      <c r="X139" s="230">
        <f t="shared" si="83"/>
        <v>-49645.925000000003</v>
      </c>
      <c r="Y139" s="43">
        <f t="shared" si="83"/>
        <v>-49645.925000000003</v>
      </c>
      <c r="Z139" s="47"/>
      <c r="AA139" s="47"/>
    </row>
    <row r="140" spans="1:27" s="118" customFormat="1" ht="9.9499999999999993" customHeight="1" x14ac:dyDescent="0.15">
      <c r="A140" s="152" t="s">
        <v>327</v>
      </c>
      <c r="B140" s="212">
        <v>0.15</v>
      </c>
      <c r="C140" s="145">
        <f t="shared" si="76"/>
        <v>119.97074148854962</v>
      </c>
      <c r="D140" s="260">
        <f t="shared" si="51"/>
        <v>119970.74148854963</v>
      </c>
      <c r="E140" s="274">
        <v>79387.61</v>
      </c>
      <c r="F140" s="196">
        <f t="shared" si="43"/>
        <v>0</v>
      </c>
      <c r="G140" s="191">
        <f t="shared" si="39"/>
        <v>0</v>
      </c>
      <c r="H140" s="246">
        <f t="shared" si="77"/>
        <v>0</v>
      </c>
      <c r="I140" s="200">
        <f t="shared" si="50"/>
        <v>0</v>
      </c>
      <c r="J140" s="230">
        <f t="shared" ref="J140:J143" si="84">K140</f>
        <v>0</v>
      </c>
      <c r="K140" s="43">
        <f t="shared" si="54"/>
        <v>0</v>
      </c>
      <c r="L140" s="200">
        <v>0</v>
      </c>
      <c r="M140" s="196">
        <f t="shared" si="48"/>
        <v>0</v>
      </c>
      <c r="N140" s="36"/>
      <c r="O140" s="43">
        <f t="shared" si="78"/>
        <v>0</v>
      </c>
      <c r="P140" s="251">
        <f t="shared" si="79"/>
        <v>0</v>
      </c>
      <c r="Q140" s="230">
        <f t="shared" ref="Q140:Q143" si="85">R140</f>
        <v>0</v>
      </c>
      <c r="R140" s="43">
        <f t="shared" si="80"/>
        <v>0</v>
      </c>
      <c r="S140" s="200"/>
      <c r="T140" s="266"/>
      <c r="U140" s="227">
        <f t="shared" si="44"/>
        <v>40583.131488549618</v>
      </c>
      <c r="V140" s="36">
        <f t="shared" si="81"/>
        <v>119.97074148854962</v>
      </c>
      <c r="W140" s="36">
        <f t="shared" si="82"/>
        <v>0</v>
      </c>
      <c r="X140" s="230">
        <f t="shared" si="83"/>
        <v>0</v>
      </c>
      <c r="Y140" s="43">
        <f t="shared" si="83"/>
        <v>0</v>
      </c>
      <c r="Z140" s="47"/>
      <c r="AA140" s="47"/>
    </row>
    <row r="141" spans="1:27" s="118" customFormat="1" ht="11.25" customHeight="1" x14ac:dyDescent="0.15">
      <c r="A141" s="152" t="s">
        <v>328</v>
      </c>
      <c r="B141" s="212">
        <v>4.83</v>
      </c>
      <c r="C141" s="145">
        <f t="shared" si="76"/>
        <v>7280.8557339312983</v>
      </c>
      <c r="D141" s="260">
        <f t="shared" si="51"/>
        <v>7280855.7339312984</v>
      </c>
      <c r="E141" s="274">
        <f>53812.5+592643.96+19220.41+8961.75+8768.5+3034+5164603.45+65661.93+10769.49+46602.91</f>
        <v>5974078.9000000004</v>
      </c>
      <c r="F141" s="196">
        <f t="shared" si="43"/>
        <v>6047.9120000000003</v>
      </c>
      <c r="G141" s="191">
        <f t="shared" ref="G141:G157" si="86">L141/2</f>
        <v>6047912</v>
      </c>
      <c r="H141" s="246">
        <f t="shared" si="77"/>
        <v>2549674</v>
      </c>
      <c r="I141" s="200">
        <f>L141-2549674</f>
        <v>9546150</v>
      </c>
      <c r="J141" s="230">
        <f t="shared" si="84"/>
        <v>12095.824000000001</v>
      </c>
      <c r="K141" s="43">
        <f t="shared" si="54"/>
        <v>12095.824000000001</v>
      </c>
      <c r="L141" s="200">
        <v>12095824</v>
      </c>
      <c r="M141" s="196">
        <f>T141/1000*-1</f>
        <v>0</v>
      </c>
      <c r="N141" s="36"/>
      <c r="O141" s="43">
        <f t="shared" si="78"/>
        <v>0</v>
      </c>
      <c r="P141" s="251">
        <f t="shared" si="79"/>
        <v>0</v>
      </c>
      <c r="Q141" s="230">
        <f t="shared" si="85"/>
        <v>0</v>
      </c>
      <c r="R141" s="43">
        <f t="shared" si="80"/>
        <v>0</v>
      </c>
      <c r="S141" s="200"/>
      <c r="T141" s="266"/>
      <c r="U141" s="227">
        <f t="shared" si="44"/>
        <v>1306776.8339312978</v>
      </c>
      <c r="V141" s="36">
        <f t="shared" si="81"/>
        <v>7280.8557339312983</v>
      </c>
      <c r="W141" s="36">
        <f t="shared" si="82"/>
        <v>6047.9120000000003</v>
      </c>
      <c r="X141" s="230">
        <f t="shared" si="83"/>
        <v>12095.824000000001</v>
      </c>
      <c r="Y141" s="43">
        <f t="shared" si="83"/>
        <v>12095.824000000001</v>
      </c>
      <c r="Z141" s="47"/>
      <c r="AA141" s="47"/>
    </row>
    <row r="142" spans="1:27" s="118" customFormat="1" ht="11.25" customHeight="1" x14ac:dyDescent="0.15">
      <c r="A142" s="152" t="s">
        <v>330</v>
      </c>
      <c r="B142" s="212">
        <v>1.9</v>
      </c>
      <c r="C142" s="145">
        <f t="shared" si="76"/>
        <v>1092.5113788549618</v>
      </c>
      <c r="D142" s="260">
        <f t="shared" si="51"/>
        <v>1092511.3788549618</v>
      </c>
      <c r="E142" s="274">
        <f>131797.49+43000+128.1+1168.54+6944.75+395419.5</f>
        <v>578458.38</v>
      </c>
      <c r="F142" s="196">
        <f t="shared" si="43"/>
        <v>1241.6885</v>
      </c>
      <c r="G142" s="191">
        <f t="shared" si="86"/>
        <v>1241688.5</v>
      </c>
      <c r="H142" s="246">
        <f t="shared" si="77"/>
        <v>1002977</v>
      </c>
      <c r="I142" s="200">
        <f>L142-1002977</f>
        <v>1480400</v>
      </c>
      <c r="J142" s="230">
        <f t="shared" si="84"/>
        <v>2483.377</v>
      </c>
      <c r="K142" s="43">
        <f t="shared" si="54"/>
        <v>2483.377</v>
      </c>
      <c r="L142" s="200">
        <v>2483377</v>
      </c>
      <c r="M142" s="196">
        <f t="shared" ref="M142:M157" si="87">T142/1000*-1</f>
        <v>-3679.2007899999994</v>
      </c>
      <c r="N142" s="36"/>
      <c r="O142" s="43">
        <f t="shared" si="78"/>
        <v>-4250</v>
      </c>
      <c r="P142" s="251">
        <f t="shared" si="79"/>
        <v>4250000</v>
      </c>
      <c r="Q142" s="230">
        <f t="shared" si="85"/>
        <v>-8500</v>
      </c>
      <c r="R142" s="43">
        <f t="shared" si="80"/>
        <v>-8500</v>
      </c>
      <c r="S142" s="200">
        <v>8500000</v>
      </c>
      <c r="T142" s="266">
        <f>9000+3063106.11+25000+7462.5+23400+482522.53+20717.5+47992.15</f>
        <v>3679200.7899999996</v>
      </c>
      <c r="U142" s="227">
        <f t="shared" si="44"/>
        <v>514052.99885496177</v>
      </c>
      <c r="V142" s="36">
        <f t="shared" si="81"/>
        <v>-2586.6894111450374</v>
      </c>
      <c r="W142" s="36">
        <f t="shared" si="82"/>
        <v>-3008.3114999999998</v>
      </c>
      <c r="X142" s="230">
        <f t="shared" si="83"/>
        <v>-6016.6229999999996</v>
      </c>
      <c r="Y142" s="43">
        <f t="shared" si="83"/>
        <v>-6016.6229999999996</v>
      </c>
      <c r="Z142" s="47"/>
      <c r="AA142" s="47"/>
    </row>
    <row r="143" spans="1:27" s="118" customFormat="1" ht="10.5" customHeight="1" x14ac:dyDescent="0.15">
      <c r="A143" s="152" t="s">
        <v>331</v>
      </c>
      <c r="B143" s="212">
        <v>1.2</v>
      </c>
      <c r="C143" s="145">
        <f t="shared" si="76"/>
        <v>595.97337190839698</v>
      </c>
      <c r="D143" s="191">
        <f t="shared" si="51"/>
        <v>595973.37190839695</v>
      </c>
      <c r="E143" s="273">
        <f>62350.24+91474.8+114795.99+2687.29</f>
        <v>271308.32</v>
      </c>
      <c r="F143" s="196">
        <f t="shared" si="43"/>
        <v>466.72949999999997</v>
      </c>
      <c r="G143" s="191">
        <f t="shared" si="86"/>
        <v>466729.5</v>
      </c>
      <c r="H143" s="246">
        <f t="shared" si="77"/>
        <v>633459</v>
      </c>
      <c r="I143" s="200">
        <f>L143-633459</f>
        <v>300000</v>
      </c>
      <c r="J143" s="230">
        <f t="shared" si="84"/>
        <v>933.45899999999995</v>
      </c>
      <c r="K143" s="43">
        <f t="shared" si="54"/>
        <v>933.45899999999995</v>
      </c>
      <c r="L143" s="200">
        <v>933459</v>
      </c>
      <c r="M143" s="196">
        <f t="shared" si="87"/>
        <v>-667.49599999999998</v>
      </c>
      <c r="N143" s="33"/>
      <c r="O143" s="43">
        <f t="shared" si="78"/>
        <v>-850</v>
      </c>
      <c r="P143" s="251">
        <f t="shared" si="79"/>
        <v>850000</v>
      </c>
      <c r="Q143" s="230">
        <f t="shared" si="85"/>
        <v>-1700</v>
      </c>
      <c r="R143" s="43">
        <f t="shared" si="80"/>
        <v>-1700</v>
      </c>
      <c r="S143" s="200">
        <v>1700000</v>
      </c>
      <c r="T143" s="266">
        <f>360000+232961+74535</f>
        <v>667496</v>
      </c>
      <c r="U143" s="227">
        <f t="shared" si="44"/>
        <v>324665.05190839694</v>
      </c>
      <c r="V143" s="36">
        <f t="shared" si="81"/>
        <v>-71.522628091602996</v>
      </c>
      <c r="W143" s="36">
        <f t="shared" si="82"/>
        <v>-383.27050000000003</v>
      </c>
      <c r="X143" s="230">
        <f t="shared" si="83"/>
        <v>-766.54100000000005</v>
      </c>
      <c r="Y143" s="43">
        <f t="shared" si="83"/>
        <v>-766.54100000000005</v>
      </c>
      <c r="Z143" s="47"/>
      <c r="AA143" s="47"/>
    </row>
    <row r="144" spans="1:27" s="184" customFormat="1" x14ac:dyDescent="0.15">
      <c r="A144" s="183" t="s">
        <v>86</v>
      </c>
      <c r="B144" s="216">
        <f>B145+B146+B147+B148+B149+B150</f>
        <v>6.65</v>
      </c>
      <c r="C144" s="170">
        <f t="shared" si="76"/>
        <v>6935.1064059923665</v>
      </c>
      <c r="D144" s="41">
        <f t="shared" si="51"/>
        <v>6935106.4059923664</v>
      </c>
      <c r="E144" s="195">
        <f>SUM(E145:E150)</f>
        <v>5135920.91</v>
      </c>
      <c r="F144" s="191">
        <f t="shared" si="43"/>
        <v>5856.7105000000001</v>
      </c>
      <c r="G144" s="191">
        <f t="shared" si="86"/>
        <v>5856710.5</v>
      </c>
      <c r="H144" s="256">
        <f t="shared" si="77"/>
        <v>3510421</v>
      </c>
      <c r="I144" s="198">
        <f>SUM(I145:I150)</f>
        <v>8203000</v>
      </c>
      <c r="J144" s="191">
        <f>SUM(J145:J150)</f>
        <v>11713.421</v>
      </c>
      <c r="K144" s="191">
        <f t="shared" si="54"/>
        <v>11713.421</v>
      </c>
      <c r="L144" s="191">
        <f>SUM(L145:L151)</f>
        <v>11713421</v>
      </c>
      <c r="M144" s="191">
        <f t="shared" si="87"/>
        <v>-134.38766999999999</v>
      </c>
      <c r="N144" s="191">
        <f>N145+N146+N147+N148+N149+N150</f>
        <v>0</v>
      </c>
      <c r="O144" s="191">
        <f t="shared" si="78"/>
        <v>-380</v>
      </c>
      <c r="P144" s="251">
        <f t="shared" si="79"/>
        <v>380000</v>
      </c>
      <c r="Q144" s="191">
        <f>SUM(Q145:Q150)</f>
        <v>-760</v>
      </c>
      <c r="R144" s="171">
        <f t="shared" si="80"/>
        <v>-760</v>
      </c>
      <c r="S144" s="191">
        <f>SUM(S145:S151)</f>
        <v>760000</v>
      </c>
      <c r="T144" s="191">
        <f>T145+T146+T147+T148+T149+T150</f>
        <v>134387.66999999998</v>
      </c>
      <c r="U144" s="210">
        <f>SUM(U145:U150)</f>
        <v>1799185.4959923665</v>
      </c>
      <c r="V144" s="173">
        <f t="shared" si="81"/>
        <v>6800.7187359923664</v>
      </c>
      <c r="W144" s="173">
        <f t="shared" si="82"/>
        <v>5476.7105000000001</v>
      </c>
      <c r="X144" s="198">
        <f t="shared" si="83"/>
        <v>10953.421</v>
      </c>
      <c r="Y144" s="171">
        <f t="shared" si="83"/>
        <v>10953.421</v>
      </c>
      <c r="Z144" s="174"/>
      <c r="AA144" s="174"/>
    </row>
    <row r="145" spans="1:27" s="118" customFormat="1" ht="9.9499999999999993" customHeight="1" x14ac:dyDescent="0.15">
      <c r="A145" s="142" t="s">
        <v>332</v>
      </c>
      <c r="B145" s="212">
        <v>0.65</v>
      </c>
      <c r="C145" s="145">
        <f t="shared" si="76"/>
        <v>413.62362645038172</v>
      </c>
      <c r="D145" s="260">
        <f t="shared" si="51"/>
        <v>413623.62645038171</v>
      </c>
      <c r="E145" s="274">
        <v>237763.39</v>
      </c>
      <c r="F145" s="196">
        <f t="shared" si="43"/>
        <v>271.56200000000001</v>
      </c>
      <c r="G145" s="191">
        <f t="shared" si="86"/>
        <v>271562</v>
      </c>
      <c r="H145" s="246">
        <f t="shared" si="77"/>
        <v>343124</v>
      </c>
      <c r="I145" s="200">
        <f>L145-343124</f>
        <v>200000</v>
      </c>
      <c r="J145" s="230">
        <f>K145</f>
        <v>543.12400000000002</v>
      </c>
      <c r="K145" s="43">
        <f t="shared" si="54"/>
        <v>543.12400000000002</v>
      </c>
      <c r="L145" s="200">
        <v>543124</v>
      </c>
      <c r="M145" s="196">
        <f t="shared" si="87"/>
        <v>0</v>
      </c>
      <c r="N145" s="36"/>
      <c r="O145" s="43">
        <f t="shared" si="78"/>
        <v>0</v>
      </c>
      <c r="P145" s="251">
        <f t="shared" si="79"/>
        <v>0</v>
      </c>
      <c r="Q145" s="230">
        <f>R145</f>
        <v>0</v>
      </c>
      <c r="R145" s="43">
        <f t="shared" si="80"/>
        <v>0</v>
      </c>
      <c r="S145" s="200"/>
      <c r="T145" s="266"/>
      <c r="U145" s="227">
        <f t="shared" si="44"/>
        <v>175860.23645038166</v>
      </c>
      <c r="V145" s="36">
        <f t="shared" si="81"/>
        <v>413.62362645038172</v>
      </c>
      <c r="W145" s="36">
        <f t="shared" si="82"/>
        <v>271.56200000000001</v>
      </c>
      <c r="X145" s="230">
        <f t="shared" si="83"/>
        <v>543.12400000000002</v>
      </c>
      <c r="Y145" s="43">
        <f t="shared" si="83"/>
        <v>543.12400000000002</v>
      </c>
      <c r="Z145" s="47"/>
      <c r="AA145" s="47"/>
    </row>
    <row r="146" spans="1:27" s="118" customFormat="1" ht="9.9499999999999993" customHeight="1" x14ac:dyDescent="0.15">
      <c r="A146" s="142" t="s">
        <v>333</v>
      </c>
      <c r="B146" s="212">
        <v>0.25</v>
      </c>
      <c r="C146" s="145">
        <f t="shared" si="76"/>
        <v>592.32333248091606</v>
      </c>
      <c r="D146" s="260">
        <f t="shared" si="51"/>
        <v>592323.33248091605</v>
      </c>
      <c r="E146" s="274">
        <f>651.3+524033.48</f>
        <v>524684.78</v>
      </c>
      <c r="F146" s="196">
        <f t="shared" si="43"/>
        <v>687.4855</v>
      </c>
      <c r="G146" s="191">
        <f t="shared" si="86"/>
        <v>687485.5</v>
      </c>
      <c r="H146" s="246">
        <f t="shared" si="77"/>
        <v>131971</v>
      </c>
      <c r="I146" s="200">
        <f>L146-131971</f>
        <v>1243000</v>
      </c>
      <c r="J146" s="230">
        <f t="shared" ref="J146:J152" si="88">K146</f>
        <v>1374.971</v>
      </c>
      <c r="K146" s="43">
        <f t="shared" si="54"/>
        <v>1374.971</v>
      </c>
      <c r="L146" s="200">
        <v>1374971</v>
      </c>
      <c r="M146" s="196">
        <f t="shared" si="87"/>
        <v>0</v>
      </c>
      <c r="N146" s="36"/>
      <c r="O146" s="43">
        <f t="shared" si="78"/>
        <v>-100</v>
      </c>
      <c r="P146" s="251">
        <f t="shared" si="79"/>
        <v>100000</v>
      </c>
      <c r="Q146" s="230">
        <f t="shared" ref="Q146:Q150" si="89">R146</f>
        <v>-200</v>
      </c>
      <c r="R146" s="43">
        <f t="shared" si="80"/>
        <v>-200</v>
      </c>
      <c r="S146" s="200">
        <v>200000</v>
      </c>
      <c r="T146" s="266"/>
      <c r="U146" s="227">
        <f t="shared" si="44"/>
        <v>67638.552480916027</v>
      </c>
      <c r="V146" s="36">
        <f t="shared" si="81"/>
        <v>592.32333248091606</v>
      </c>
      <c r="W146" s="36">
        <f t="shared" si="82"/>
        <v>587.4855</v>
      </c>
      <c r="X146" s="230">
        <f t="shared" si="83"/>
        <v>1174.971</v>
      </c>
      <c r="Y146" s="43">
        <f t="shared" si="83"/>
        <v>1174.971</v>
      </c>
      <c r="Z146" s="47"/>
      <c r="AA146" s="47"/>
    </row>
    <row r="147" spans="1:27" s="118" customFormat="1" ht="9.9499999999999993" customHeight="1" x14ac:dyDescent="0.15">
      <c r="A147" s="142" t="s">
        <v>334</v>
      </c>
      <c r="B147" s="212">
        <v>0.7</v>
      </c>
      <c r="C147" s="145">
        <f t="shared" si="76"/>
        <v>189.38794694656485</v>
      </c>
      <c r="D147" s="260">
        <f>E147+U147</f>
        <v>189387.94694656486</v>
      </c>
      <c r="E147" s="274"/>
      <c r="F147" s="196">
        <f t="shared" si="43"/>
        <v>184.75899999999999</v>
      </c>
      <c r="G147" s="191">
        <f t="shared" si="86"/>
        <v>184759</v>
      </c>
      <c r="H147" s="246">
        <f t="shared" si="77"/>
        <v>369518</v>
      </c>
      <c r="I147" s="200">
        <f>L147-369518</f>
        <v>0</v>
      </c>
      <c r="J147" s="230">
        <f t="shared" si="88"/>
        <v>369.51799999999997</v>
      </c>
      <c r="K147" s="43">
        <f t="shared" si="54"/>
        <v>369.51799999999997</v>
      </c>
      <c r="L147" s="200">
        <v>369518</v>
      </c>
      <c r="M147" s="196">
        <f t="shared" si="87"/>
        <v>0</v>
      </c>
      <c r="N147" s="36"/>
      <c r="O147" s="43">
        <f t="shared" si="78"/>
        <v>0</v>
      </c>
      <c r="P147" s="251">
        <f t="shared" si="79"/>
        <v>0</v>
      </c>
      <c r="Q147" s="230">
        <f t="shared" si="89"/>
        <v>0</v>
      </c>
      <c r="R147" s="43">
        <f t="shared" si="80"/>
        <v>0</v>
      </c>
      <c r="S147" s="200"/>
      <c r="T147" s="266"/>
      <c r="U147" s="227">
        <f t="shared" si="44"/>
        <v>189387.94694656486</v>
      </c>
      <c r="V147" s="36">
        <f t="shared" si="81"/>
        <v>189.38794694656485</v>
      </c>
      <c r="W147" s="36">
        <f t="shared" si="82"/>
        <v>184.75899999999999</v>
      </c>
      <c r="X147" s="230">
        <f t="shared" si="83"/>
        <v>369.51799999999997</v>
      </c>
      <c r="Y147" s="43">
        <f t="shared" si="83"/>
        <v>369.51799999999997</v>
      </c>
      <c r="Z147" s="47"/>
      <c r="AA147" s="47"/>
    </row>
    <row r="148" spans="1:27" s="118" customFormat="1" ht="9.9499999999999993" customHeight="1" x14ac:dyDescent="0.15">
      <c r="A148" s="142" t="s">
        <v>335</v>
      </c>
      <c r="B148" s="212">
        <v>2.4</v>
      </c>
      <c r="C148" s="145">
        <f t="shared" si="76"/>
        <v>2140.4915138167939</v>
      </c>
      <c r="D148" s="260">
        <f t="shared" si="51"/>
        <v>2140491.5138167939</v>
      </c>
      <c r="E148" s="274">
        <f>13731.67+1418808.76+22272.05+36348.93</f>
        <v>1491161.41</v>
      </c>
      <c r="F148" s="196">
        <f t="shared" si="43"/>
        <v>1513.4594999999999</v>
      </c>
      <c r="G148" s="191">
        <f t="shared" si="86"/>
        <v>1513459.5</v>
      </c>
      <c r="H148" s="246">
        <f t="shared" si="77"/>
        <v>1266919</v>
      </c>
      <c r="I148" s="200">
        <f>L148-1266919</f>
        <v>1760000</v>
      </c>
      <c r="J148" s="230">
        <f t="shared" si="88"/>
        <v>3026.9189999999999</v>
      </c>
      <c r="K148" s="43">
        <f t="shared" si="54"/>
        <v>3026.9189999999999</v>
      </c>
      <c r="L148" s="200">
        <v>3026919</v>
      </c>
      <c r="M148" s="196">
        <f t="shared" si="87"/>
        <v>-134.38766999999999</v>
      </c>
      <c r="N148" s="36"/>
      <c r="O148" s="43">
        <f t="shared" si="78"/>
        <v>0</v>
      </c>
      <c r="P148" s="251">
        <f t="shared" si="79"/>
        <v>0</v>
      </c>
      <c r="Q148" s="230">
        <f t="shared" si="89"/>
        <v>0</v>
      </c>
      <c r="R148" s="43">
        <f t="shared" si="80"/>
        <v>0</v>
      </c>
      <c r="S148" s="200"/>
      <c r="T148" s="266">
        <f>98387.67+36000</f>
        <v>134387.66999999998</v>
      </c>
      <c r="U148" s="227">
        <f t="shared" si="44"/>
        <v>649330.10381679388</v>
      </c>
      <c r="V148" s="36">
        <f t="shared" si="81"/>
        <v>2006.1038438167939</v>
      </c>
      <c r="W148" s="36">
        <f t="shared" si="82"/>
        <v>1513.4594999999999</v>
      </c>
      <c r="X148" s="230">
        <f t="shared" si="83"/>
        <v>3026.9189999999999</v>
      </c>
      <c r="Y148" s="43">
        <f t="shared" si="83"/>
        <v>3026.9189999999999</v>
      </c>
      <c r="Z148" s="47"/>
      <c r="AA148" s="47"/>
    </row>
    <row r="149" spans="1:27" s="118" customFormat="1" ht="9.9499999999999993" customHeight="1" x14ac:dyDescent="0.15">
      <c r="A149" s="142" t="s">
        <v>336</v>
      </c>
      <c r="B149" s="212">
        <v>1.55</v>
      </c>
      <c r="C149" s="145">
        <f t="shared" si="76"/>
        <v>1695.5276653816793</v>
      </c>
      <c r="D149" s="260">
        <f t="shared" si="51"/>
        <v>1695527.6653816793</v>
      </c>
      <c r="E149" s="274">
        <f>1289972.17-22272.05+3903.6+72+4492.92</f>
        <v>1276168.6399999999</v>
      </c>
      <c r="F149" s="196">
        <f t="shared" si="43"/>
        <v>2046.6089999999999</v>
      </c>
      <c r="G149" s="191">
        <f t="shared" si="86"/>
        <v>2046609</v>
      </c>
      <c r="H149" s="246">
        <f t="shared" si="77"/>
        <v>818218</v>
      </c>
      <c r="I149" s="200">
        <f>L149-818218</f>
        <v>3275000</v>
      </c>
      <c r="J149" s="230">
        <f t="shared" si="88"/>
        <v>4093.2179999999998</v>
      </c>
      <c r="K149" s="43">
        <f t="shared" si="54"/>
        <v>4093.2179999999998</v>
      </c>
      <c r="L149" s="200">
        <v>4093218</v>
      </c>
      <c r="M149" s="196">
        <f t="shared" si="87"/>
        <v>0</v>
      </c>
      <c r="N149" s="36"/>
      <c r="O149" s="43">
        <f t="shared" si="78"/>
        <v>-280</v>
      </c>
      <c r="P149" s="251">
        <f t="shared" si="79"/>
        <v>280000</v>
      </c>
      <c r="Q149" s="230">
        <f t="shared" si="89"/>
        <v>-560</v>
      </c>
      <c r="R149" s="43">
        <f t="shared" si="80"/>
        <v>-560</v>
      </c>
      <c r="S149" s="200">
        <v>560000</v>
      </c>
      <c r="T149" s="266"/>
      <c r="U149" s="227">
        <f t="shared" si="44"/>
        <v>419359.02538167936</v>
      </c>
      <c r="V149" s="36">
        <f t="shared" si="81"/>
        <v>1695.5276653816793</v>
      </c>
      <c r="W149" s="36">
        <f t="shared" si="82"/>
        <v>1766.6089999999999</v>
      </c>
      <c r="X149" s="230">
        <f t="shared" si="83"/>
        <v>3533.2179999999998</v>
      </c>
      <c r="Y149" s="43">
        <f t="shared" si="83"/>
        <v>3533.2179999999998</v>
      </c>
      <c r="Z149" s="47"/>
      <c r="AA149" s="47"/>
    </row>
    <row r="150" spans="1:27" s="118" customFormat="1" ht="9.9499999999999993" customHeight="1" x14ac:dyDescent="0.15">
      <c r="A150" s="142" t="s">
        <v>337</v>
      </c>
      <c r="B150" s="212">
        <v>1.1000000000000001</v>
      </c>
      <c r="C150" s="145">
        <f t="shared" si="76"/>
        <v>1903.7523209160306</v>
      </c>
      <c r="D150" s="260">
        <f t="shared" si="51"/>
        <v>1903752.3209160306</v>
      </c>
      <c r="E150" s="274">
        <f>44151.72+1561990.97</f>
        <v>1606142.69</v>
      </c>
      <c r="F150" s="196">
        <f t="shared" ref="F150:J157" si="90">G150/1000</f>
        <v>1152.8354999999999</v>
      </c>
      <c r="G150" s="191">
        <f t="shared" si="86"/>
        <v>1152835.5</v>
      </c>
      <c r="H150" s="246">
        <f>L150-I150</f>
        <v>580671</v>
      </c>
      <c r="I150" s="200">
        <f>L150-580671</f>
        <v>1725000</v>
      </c>
      <c r="J150" s="230">
        <f t="shared" si="88"/>
        <v>2305.6709999999998</v>
      </c>
      <c r="K150" s="43">
        <f t="shared" si="54"/>
        <v>2305.6709999999998</v>
      </c>
      <c r="L150" s="200">
        <v>2305671</v>
      </c>
      <c r="M150" s="196">
        <f t="shared" si="87"/>
        <v>0</v>
      </c>
      <c r="N150" s="36"/>
      <c r="O150" s="43">
        <f t="shared" si="78"/>
        <v>0</v>
      </c>
      <c r="P150" s="251">
        <f t="shared" si="79"/>
        <v>0</v>
      </c>
      <c r="Q150" s="230">
        <f t="shared" si="89"/>
        <v>0</v>
      </c>
      <c r="R150" s="43">
        <f t="shared" si="80"/>
        <v>0</v>
      </c>
      <c r="S150" s="200"/>
      <c r="T150" s="266"/>
      <c r="U150" s="227">
        <f t="shared" ref="U150:U156" si="91">$U$8/$B$8*B150</f>
        <v>297609.63091603055</v>
      </c>
      <c r="V150" s="36">
        <f t="shared" si="81"/>
        <v>1903.7523209160306</v>
      </c>
      <c r="W150" s="36">
        <f t="shared" si="82"/>
        <v>1152.8354999999999</v>
      </c>
      <c r="X150" s="230">
        <f>J150+Q150</f>
        <v>2305.6709999999998</v>
      </c>
      <c r="Y150" s="43">
        <f t="shared" si="83"/>
        <v>2305.6709999999998</v>
      </c>
      <c r="Z150" s="47"/>
      <c r="AA150" s="47"/>
    </row>
    <row r="151" spans="1:27" s="118" customFormat="1" ht="9" hidden="1" customHeight="1" x14ac:dyDescent="0.15">
      <c r="A151" s="147"/>
      <c r="B151" s="214"/>
      <c r="C151" s="140"/>
      <c r="D151" s="41">
        <f t="shared" si="51"/>
        <v>0</v>
      </c>
      <c r="E151" s="273"/>
      <c r="F151" s="195">
        <f t="shared" si="90"/>
        <v>0</v>
      </c>
      <c r="G151" s="191">
        <f t="shared" si="86"/>
        <v>0</v>
      </c>
      <c r="H151" s="246">
        <f t="shared" si="77"/>
        <v>0</v>
      </c>
      <c r="I151" s="200">
        <f t="shared" ref="I151:I155" si="92">L151</f>
        <v>0</v>
      </c>
      <c r="J151" s="230">
        <f t="shared" si="88"/>
        <v>0</v>
      </c>
      <c r="K151" s="41">
        <f t="shared" si="54"/>
        <v>0</v>
      </c>
      <c r="L151" s="198"/>
      <c r="M151" s="195">
        <f t="shared" si="87"/>
        <v>0</v>
      </c>
      <c r="N151" s="33"/>
      <c r="O151" s="41"/>
      <c r="P151" s="251">
        <f t="shared" si="79"/>
        <v>0</v>
      </c>
      <c r="Q151" s="231"/>
      <c r="R151" s="41"/>
      <c r="S151" s="198"/>
      <c r="T151" s="265"/>
      <c r="U151" s="210">
        <f t="shared" si="91"/>
        <v>0</v>
      </c>
      <c r="V151" s="33"/>
      <c r="W151" s="33"/>
      <c r="X151" s="230"/>
      <c r="Y151" s="41"/>
      <c r="Z151" s="47"/>
      <c r="AA151" s="47"/>
    </row>
    <row r="152" spans="1:27" s="179" customFormat="1" x14ac:dyDescent="0.15">
      <c r="A152" s="168" t="s">
        <v>87</v>
      </c>
      <c r="B152" s="216">
        <f>B153</f>
        <v>0.05</v>
      </c>
      <c r="C152" s="170">
        <f>D152/1000</f>
        <v>456.7502904961832</v>
      </c>
      <c r="D152" s="195">
        <f t="shared" si="51"/>
        <v>456750.29049618321</v>
      </c>
      <c r="E152" s="275">
        <f>SUM(E153:E154)</f>
        <v>443222.58</v>
      </c>
      <c r="F152" s="191">
        <f t="shared" si="90"/>
        <v>13.196999999999999</v>
      </c>
      <c r="G152" s="191">
        <f t="shared" si="86"/>
        <v>13197</v>
      </c>
      <c r="H152" s="256">
        <v>26394</v>
      </c>
      <c r="I152" s="198">
        <v>0</v>
      </c>
      <c r="J152" s="198">
        <f t="shared" si="88"/>
        <v>26.393999999999998</v>
      </c>
      <c r="K152" s="191">
        <f t="shared" si="54"/>
        <v>26.393999999999998</v>
      </c>
      <c r="L152" s="191">
        <f>L153</f>
        <v>26394</v>
      </c>
      <c r="M152" s="191">
        <f t="shared" si="87"/>
        <v>-1231.4514199999999</v>
      </c>
      <c r="N152" s="171">
        <f>N153</f>
        <v>0</v>
      </c>
      <c r="O152" s="171">
        <f>P152/1000*-1</f>
        <v>-1425</v>
      </c>
      <c r="P152" s="251">
        <f t="shared" si="79"/>
        <v>1425000</v>
      </c>
      <c r="Q152" s="191">
        <f>Q153</f>
        <v>-2850</v>
      </c>
      <c r="R152" s="171">
        <f>S152/1000*-1</f>
        <v>-2850</v>
      </c>
      <c r="S152" s="191">
        <f>S153</f>
        <v>2850000</v>
      </c>
      <c r="T152" s="201">
        <f>T153</f>
        <v>1231451.42</v>
      </c>
      <c r="U152" s="210">
        <f>SUM(U153)</f>
        <v>13527.710496183206</v>
      </c>
      <c r="V152" s="173">
        <f>C152+M152</f>
        <v>-774.70112950381667</v>
      </c>
      <c r="W152" s="173">
        <f>F152+O152</f>
        <v>-1411.8030000000001</v>
      </c>
      <c r="X152" s="198">
        <f>J152+Q152</f>
        <v>-2823.6060000000002</v>
      </c>
      <c r="Y152" s="171">
        <f>K152+R152</f>
        <v>-2823.6060000000002</v>
      </c>
      <c r="Z152" s="174"/>
      <c r="AA152" s="174"/>
    </row>
    <row r="153" spans="1:27" s="117" customFormat="1" ht="9.75" customHeight="1" x14ac:dyDescent="0.15">
      <c r="A153" s="142" t="s">
        <v>338</v>
      </c>
      <c r="B153" s="212">
        <v>0.05</v>
      </c>
      <c r="C153" s="145">
        <f>D153/1000</f>
        <v>456.7502904961832</v>
      </c>
      <c r="D153" s="260">
        <f t="shared" si="51"/>
        <v>456750.29049618321</v>
      </c>
      <c r="E153" s="274">
        <f>21568.76+421653.82</f>
        <v>443222.58</v>
      </c>
      <c r="F153" s="196">
        <f t="shared" si="90"/>
        <v>13.196999999999999</v>
      </c>
      <c r="G153" s="191">
        <f t="shared" si="86"/>
        <v>13197</v>
      </c>
      <c r="H153" s="246">
        <v>26394</v>
      </c>
      <c r="I153" s="200">
        <v>0</v>
      </c>
      <c r="J153" s="230">
        <f>K153</f>
        <v>26.393999999999998</v>
      </c>
      <c r="K153" s="43">
        <f t="shared" si="54"/>
        <v>26.393999999999998</v>
      </c>
      <c r="L153" s="200">
        <v>26394</v>
      </c>
      <c r="M153" s="196">
        <f t="shared" si="87"/>
        <v>-1231.4514199999999</v>
      </c>
      <c r="N153" s="36"/>
      <c r="O153" s="43">
        <f>P153/1000*-1</f>
        <v>-1425</v>
      </c>
      <c r="P153" s="251">
        <f t="shared" si="79"/>
        <v>1425000</v>
      </c>
      <c r="Q153" s="230">
        <f>R153</f>
        <v>-2850</v>
      </c>
      <c r="R153" s="43">
        <f>S153/1000*-1</f>
        <v>-2850</v>
      </c>
      <c r="S153" s="200">
        <v>2850000</v>
      </c>
      <c r="T153" s="266">
        <f>88133.97+1143317.45</f>
        <v>1231451.42</v>
      </c>
      <c r="U153" s="227">
        <f t="shared" si="91"/>
        <v>13527.710496183206</v>
      </c>
      <c r="V153" s="36">
        <f>C153+M153</f>
        <v>-774.70112950381667</v>
      </c>
      <c r="W153" s="36">
        <f>F153+O153</f>
        <v>-1411.8030000000001</v>
      </c>
      <c r="X153" s="230">
        <f>J153+R153</f>
        <v>-2823.6060000000002</v>
      </c>
      <c r="Y153" s="43">
        <f>K153+R153</f>
        <v>-2823.6060000000002</v>
      </c>
      <c r="Z153" s="47"/>
      <c r="AA153" s="47"/>
    </row>
    <row r="154" spans="1:27" s="117" customFormat="1" ht="9" hidden="1" customHeight="1" x14ac:dyDescent="0.15">
      <c r="A154" s="142"/>
      <c r="B154" s="212"/>
      <c r="C154" s="145"/>
      <c r="D154" s="260">
        <f t="shared" si="51"/>
        <v>0</v>
      </c>
      <c r="E154" s="274"/>
      <c r="F154" s="196">
        <f t="shared" si="90"/>
        <v>0</v>
      </c>
      <c r="G154" s="191">
        <f t="shared" si="86"/>
        <v>0</v>
      </c>
      <c r="H154" s="246">
        <f t="shared" si="77"/>
        <v>0</v>
      </c>
      <c r="I154" s="200">
        <f t="shared" si="92"/>
        <v>0</v>
      </c>
      <c r="J154" s="230"/>
      <c r="K154" s="43">
        <f t="shared" si="54"/>
        <v>0</v>
      </c>
      <c r="L154" s="200"/>
      <c r="M154" s="196">
        <f t="shared" si="87"/>
        <v>0</v>
      </c>
      <c r="N154" s="36"/>
      <c r="O154" s="43"/>
      <c r="P154" s="251">
        <f t="shared" si="79"/>
        <v>0</v>
      </c>
      <c r="Q154" s="230"/>
      <c r="R154" s="43"/>
      <c r="S154" s="200"/>
      <c r="T154" s="266"/>
      <c r="U154" s="227">
        <f t="shared" si="91"/>
        <v>0</v>
      </c>
      <c r="V154" s="36"/>
      <c r="W154" s="36"/>
      <c r="X154" s="230"/>
      <c r="Y154" s="43"/>
      <c r="Z154" s="47"/>
      <c r="AA154" s="47"/>
    </row>
    <row r="155" spans="1:27" s="189" customFormat="1" ht="9.75" hidden="1" customHeight="1" x14ac:dyDescent="0.15">
      <c r="A155" s="186" t="s">
        <v>119</v>
      </c>
      <c r="B155" s="217">
        <f>B156</f>
        <v>0</v>
      </c>
      <c r="C155" s="170"/>
      <c r="D155" s="191">
        <f t="shared" si="51"/>
        <v>0</v>
      </c>
      <c r="E155" s="273"/>
      <c r="F155" s="191">
        <f t="shared" si="90"/>
        <v>0</v>
      </c>
      <c r="G155" s="191">
        <f t="shared" si="86"/>
        <v>0</v>
      </c>
      <c r="H155" s="246">
        <f t="shared" si="77"/>
        <v>0</v>
      </c>
      <c r="I155" s="200">
        <f t="shared" si="92"/>
        <v>0</v>
      </c>
      <c r="J155" s="198"/>
      <c r="K155" s="191">
        <f t="shared" si="54"/>
        <v>0</v>
      </c>
      <c r="L155" s="198">
        <f>L156</f>
        <v>0</v>
      </c>
      <c r="M155" s="191">
        <f t="shared" si="87"/>
        <v>0</v>
      </c>
      <c r="N155" s="173"/>
      <c r="O155" s="171">
        <v>0</v>
      </c>
      <c r="P155" s="251">
        <f t="shared" si="79"/>
        <v>0</v>
      </c>
      <c r="Q155" s="198">
        <v>0</v>
      </c>
      <c r="R155" s="171">
        <v>0</v>
      </c>
      <c r="S155" s="198"/>
      <c r="T155" s="265"/>
      <c r="U155" s="210">
        <f t="shared" si="91"/>
        <v>0</v>
      </c>
      <c r="V155" s="173">
        <v>0</v>
      </c>
      <c r="W155" s="173">
        <v>0</v>
      </c>
      <c r="X155" s="198">
        <f>J155+Q155</f>
        <v>0</v>
      </c>
      <c r="Y155" s="171">
        <f>K155+R155</f>
        <v>0</v>
      </c>
      <c r="Z155" s="174"/>
      <c r="AA155" s="174"/>
    </row>
    <row r="156" spans="1:27" s="117" customFormat="1" x14ac:dyDescent="0.15">
      <c r="A156" s="142"/>
      <c r="B156" s="212"/>
      <c r="C156" s="145">
        <f>D156/1000</f>
        <v>0</v>
      </c>
      <c r="D156" s="260">
        <f t="shared" si="51"/>
        <v>0</v>
      </c>
      <c r="E156" s="274"/>
      <c r="F156" s="196">
        <f t="shared" si="90"/>
        <v>0</v>
      </c>
      <c r="G156" s="191">
        <f t="shared" si="86"/>
        <v>0</v>
      </c>
      <c r="H156" s="196">
        <f t="shared" si="90"/>
        <v>0</v>
      </c>
      <c r="I156" s="196">
        <f t="shared" si="90"/>
        <v>0</v>
      </c>
      <c r="J156" s="248">
        <f t="shared" si="90"/>
        <v>0</v>
      </c>
      <c r="K156" s="43">
        <f t="shared" si="54"/>
        <v>0</v>
      </c>
      <c r="L156" s="200"/>
      <c r="M156" s="196">
        <f t="shared" si="87"/>
        <v>0</v>
      </c>
      <c r="N156" s="36"/>
      <c r="O156" s="43">
        <f>P156/1000*-1</f>
        <v>0</v>
      </c>
      <c r="P156" s="251">
        <f t="shared" si="79"/>
        <v>0</v>
      </c>
      <c r="Q156" s="230">
        <v>0</v>
      </c>
      <c r="R156" s="43">
        <f>S156/1000*-1</f>
        <v>0</v>
      </c>
      <c r="S156" s="200"/>
      <c r="T156" s="266"/>
      <c r="U156" s="227">
        <f t="shared" si="91"/>
        <v>0</v>
      </c>
      <c r="V156" s="36">
        <f>C156+M156</f>
        <v>0</v>
      </c>
      <c r="W156" s="36">
        <f>F156+O156</f>
        <v>0</v>
      </c>
      <c r="X156" s="230">
        <f>J156+Q156</f>
        <v>0</v>
      </c>
      <c r="Y156" s="43">
        <v>0</v>
      </c>
      <c r="Z156" s="47"/>
      <c r="AA156" s="47"/>
    </row>
    <row r="157" spans="1:27" s="117" customFormat="1" x14ac:dyDescent="0.15">
      <c r="A157" s="156" t="s">
        <v>95</v>
      </c>
      <c r="B157" s="157">
        <f>B9+B41+B104+B130+B138+B144+B152</f>
        <v>65.5</v>
      </c>
      <c r="C157" s="140">
        <f>D157/1000</f>
        <v>44026.503189999996</v>
      </c>
      <c r="D157" s="158">
        <f>D144+D138+D130+D104+D41+D9+D152</f>
        <v>44026503.189999998</v>
      </c>
      <c r="E157" s="276">
        <f>E152+E144+E138+E130+E104+E41+E9+E155</f>
        <v>26305202.440000005</v>
      </c>
      <c r="F157" s="195">
        <f t="shared" si="90"/>
        <v>39351.612000000001</v>
      </c>
      <c r="G157" s="191">
        <f t="shared" si="86"/>
        <v>39351612</v>
      </c>
      <c r="H157" s="246">
        <f>H152+H144+H138+H130+H9+H41+H104</f>
        <v>34576324</v>
      </c>
      <c r="I157" s="200">
        <f>I152+I144+I138+I130+I104+I41+I9</f>
        <v>44126900</v>
      </c>
      <c r="J157" s="232">
        <f>J144+J138+J104+J41+J9+J155+J130+J152</f>
        <v>78703.224000000017</v>
      </c>
      <c r="K157" s="41">
        <f t="shared" si="54"/>
        <v>78703.224000000002</v>
      </c>
      <c r="L157" s="191">
        <f>L152+L144+L138+L130+L104+L41+L9+L155</f>
        <v>78703224</v>
      </c>
      <c r="M157" s="195">
        <f t="shared" si="87"/>
        <v>-36943.144720000004</v>
      </c>
      <c r="N157" s="158">
        <f>N152+N144+N138+N130+N104+N41</f>
        <v>0</v>
      </c>
      <c r="O157" s="41">
        <f>P157/1000*-1</f>
        <v>-39391</v>
      </c>
      <c r="P157" s="251">
        <f t="shared" si="79"/>
        <v>39391000</v>
      </c>
      <c r="Q157" s="232">
        <f>Q152+Q144+Q138+Q130+Q104+Q41+Q9</f>
        <v>-78782</v>
      </c>
      <c r="R157" s="41">
        <f>S157/1000*-1</f>
        <v>-78782</v>
      </c>
      <c r="S157" s="221">
        <f>S155+S152+S144+S138+S130+S104+S41+S9</f>
        <v>78782000</v>
      </c>
      <c r="T157" s="267">
        <f>T152+T144+T138+T130+T104+T41</f>
        <v>36943144.720000006</v>
      </c>
      <c r="U157" s="211">
        <f>U152+U144+U138+U130+U104+U41+U9</f>
        <v>17721300.75</v>
      </c>
      <c r="V157" s="33">
        <f>C157+M157</f>
        <v>7083.3584699999919</v>
      </c>
      <c r="W157" s="33">
        <f>F157+O157+1</f>
        <v>-38.38799999999901</v>
      </c>
      <c r="X157" s="231">
        <f>J157+Q157</f>
        <v>-78.775999999983469</v>
      </c>
      <c r="Y157" s="41">
        <f>K157+R157</f>
        <v>-78.775999999998021</v>
      </c>
      <c r="Z157" s="47"/>
      <c r="AA157" s="47"/>
    </row>
    <row r="158" spans="1:27" s="42" customFormat="1" x14ac:dyDescent="0.15">
      <c r="A158" s="163"/>
      <c r="B158" s="213"/>
      <c r="C158" s="121"/>
      <c r="D158" s="122"/>
      <c r="E158" s="270"/>
      <c r="F158" s="192"/>
      <c r="G158" s="192"/>
      <c r="H158" s="47"/>
      <c r="I158" s="197"/>
      <c r="J158" s="228"/>
      <c r="K158" s="47"/>
      <c r="L158" s="197"/>
      <c r="M158" s="225"/>
      <c r="N158" s="47"/>
      <c r="O158" s="47"/>
      <c r="P158" s="252"/>
      <c r="Q158" s="228"/>
      <c r="R158" s="47"/>
      <c r="S158" s="197"/>
      <c r="T158" s="261"/>
      <c r="U158" s="206"/>
      <c r="V158" s="47"/>
      <c r="W158" s="164"/>
      <c r="X158" s="237"/>
    </row>
    <row r="159" spans="1:27" s="42" customFormat="1" x14ac:dyDescent="0.15">
      <c r="A159" s="39"/>
      <c r="B159" s="213"/>
      <c r="C159" s="167"/>
      <c r="D159" s="122"/>
      <c r="E159" s="277"/>
      <c r="F159" s="192"/>
      <c r="G159" s="192"/>
      <c r="H159" s="47"/>
      <c r="I159" s="197"/>
      <c r="J159" s="228"/>
      <c r="K159" s="47"/>
      <c r="L159" s="197"/>
      <c r="M159" s="225"/>
      <c r="N159" s="47"/>
      <c r="O159" s="47"/>
      <c r="P159" s="252"/>
      <c r="Q159" s="228"/>
      <c r="R159" s="47"/>
      <c r="S159" s="197"/>
      <c r="T159" s="261"/>
      <c r="U159" s="206"/>
      <c r="V159" s="47"/>
      <c r="W159" s="164"/>
      <c r="X159" s="237"/>
    </row>
    <row r="160" spans="1:27" x14ac:dyDescent="0.15">
      <c r="B160" s="218"/>
      <c r="C160" s="167"/>
      <c r="D160" s="167"/>
      <c r="E160" s="278"/>
      <c r="F160" s="223"/>
      <c r="G160" s="223">
        <f t="shared" ref="G160:L160" si="93">Q158-G158</f>
        <v>0</v>
      </c>
      <c r="H160" s="167">
        <f t="shared" si="93"/>
        <v>0</v>
      </c>
      <c r="I160" s="202">
        <f t="shared" si="93"/>
        <v>0</v>
      </c>
      <c r="J160" s="233"/>
      <c r="K160" s="167"/>
      <c r="L160" s="202">
        <f t="shared" si="93"/>
        <v>0</v>
      </c>
      <c r="M160" s="223"/>
    </row>
    <row r="161" spans="1:24" s="42" customFormat="1" x14ac:dyDescent="0.15">
      <c r="A161" s="39"/>
      <c r="B161" s="218"/>
      <c r="C161" s="167"/>
      <c r="D161" s="122"/>
      <c r="E161" s="270"/>
      <c r="F161" s="192"/>
      <c r="G161" s="192"/>
      <c r="H161" s="47"/>
      <c r="I161" s="197"/>
      <c r="J161" s="228"/>
      <c r="K161" s="47"/>
      <c r="L161" s="197"/>
      <c r="M161" s="225"/>
      <c r="N161" s="47"/>
      <c r="O161" s="47"/>
      <c r="P161" s="252"/>
      <c r="Q161" s="228"/>
      <c r="R161" s="47"/>
      <c r="S161" s="197"/>
      <c r="T161" s="261"/>
      <c r="U161" s="206"/>
      <c r="V161" s="47"/>
      <c r="W161" s="164"/>
      <c r="X161" s="237"/>
    </row>
    <row r="162" spans="1:24" x14ac:dyDescent="0.15">
      <c r="M162" s="226"/>
    </row>
    <row r="166" spans="1:24" x14ac:dyDescent="0.15">
      <c r="A166" s="167"/>
    </row>
    <row r="168" spans="1:24" x14ac:dyDescent="0.15">
      <c r="A168" s="255"/>
    </row>
  </sheetData>
  <mergeCells count="4">
    <mergeCell ref="A4:W4"/>
    <mergeCell ref="C6:K6"/>
    <mergeCell ref="M6:R6"/>
    <mergeCell ref="V6:Y6"/>
  </mergeCells>
  <pageMargins left="0.94488188976377963" right="0.55118110236220474" top="1.1811023622047245" bottom="0" header="0" footer="0"/>
  <pageSetup paperSize="8" orientation="portrait" r:id="rId1"/>
  <headerFooter alignWithMargins="0">
    <oddFooter>&amp;R&amp;6&amp;Z&amp;F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"/>
  <sheetViews>
    <sheetView topLeftCell="A171" zoomScale="120" zoomScaleNormal="120" workbookViewId="0">
      <pane ySplit="1860" topLeftCell="A12" activePane="bottomLeft"/>
      <selection activeCell="AC148" sqref="AC148"/>
      <selection pane="bottomLeft" activeCell="A159" sqref="A159"/>
    </sheetView>
  </sheetViews>
  <sheetFormatPr defaultRowHeight="10.5" x14ac:dyDescent="0.15"/>
  <cols>
    <col min="1" max="1" width="32.140625" style="39" customWidth="1"/>
    <col min="2" max="2" width="8.42578125" style="213" customWidth="1"/>
    <col min="3" max="3" width="7.5703125" style="121" customWidth="1"/>
    <col min="4" max="4" width="12.7109375" style="122" hidden="1" customWidth="1"/>
    <col min="5" max="5" width="11.85546875" style="270" hidden="1" customWidth="1"/>
    <col min="6" max="6" width="7" style="192" customWidth="1"/>
    <col min="7" max="7" width="10.5703125" style="192" hidden="1" customWidth="1"/>
    <col min="8" max="8" width="14" style="47" hidden="1" customWidth="1"/>
    <col min="9" max="9" width="12.140625" style="197" hidden="1" customWidth="1"/>
    <col min="10" max="10" width="7.42578125" style="228" customWidth="1"/>
    <col min="11" max="11" width="7" style="47" customWidth="1"/>
    <col min="12" max="12" width="16" style="197" hidden="1" customWidth="1"/>
    <col min="13" max="13" width="7.85546875" style="192" customWidth="1"/>
    <col min="14" max="14" width="10.140625" style="47" hidden="1" customWidth="1"/>
    <col min="15" max="15" width="7.7109375" style="47" customWidth="1"/>
    <col min="16" max="16" width="10.85546875" style="252" hidden="1" customWidth="1"/>
    <col min="17" max="17" width="6.5703125" style="228" customWidth="1"/>
    <col min="18" max="18" width="7.140625" style="47" customWidth="1"/>
    <col min="19" max="19" width="14.140625" style="197" hidden="1" customWidth="1"/>
    <col min="20" max="20" width="20.7109375" style="261" hidden="1" customWidth="1"/>
    <col min="21" max="21" width="16.7109375" style="206" hidden="1" customWidth="1"/>
    <col min="22" max="22" width="7.28515625" style="47" customWidth="1"/>
    <col min="23" max="23" width="7.5703125" style="47" customWidth="1"/>
    <col min="24" max="24" width="6.7109375" style="235" customWidth="1"/>
    <col min="25" max="25" width="7.7109375" style="39" customWidth="1"/>
    <col min="26" max="26" width="11.85546875" style="39" hidden="1" customWidth="1"/>
    <col min="27" max="27" width="0" style="39" hidden="1" customWidth="1"/>
    <col min="28" max="16384" width="9.140625" style="39"/>
  </cols>
  <sheetData>
    <row r="1" spans="1:27" x14ac:dyDescent="0.15">
      <c r="J1" s="192"/>
      <c r="Q1" s="192"/>
      <c r="X1" s="238"/>
    </row>
    <row r="2" spans="1:27" x14ac:dyDescent="0.15">
      <c r="D2" s="122">
        <f>D157</f>
        <v>61736512.659999996</v>
      </c>
      <c r="J2" s="192"/>
      <c r="L2" s="197">
        <f>L157</f>
        <v>78703224</v>
      </c>
      <c r="Q2" s="192"/>
      <c r="X2" s="238"/>
    </row>
    <row r="3" spans="1:27" x14ac:dyDescent="0.15">
      <c r="J3" s="192"/>
      <c r="N3" s="38"/>
      <c r="Q3" s="192"/>
      <c r="U3" s="206">
        <f>U10+U26+U31+U32+U33+U34+U35+U36+U37+U39+U40+U42+U53+U59+U65+U73+U77+U82+U98+U143+U105+U119+U131+U132+U133+U134+U139+U140+U141+U142+U145+U146+U147+U148+U149+U150+U153</f>
        <v>25943299.169999994</v>
      </c>
      <c r="X3" s="238"/>
    </row>
    <row r="4" spans="1:27" x14ac:dyDescent="0.15">
      <c r="A4" s="441" t="s">
        <v>349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239"/>
    </row>
    <row r="5" spans="1:27" x14ac:dyDescent="0.15">
      <c r="J5" s="192"/>
      <c r="Q5" s="192"/>
      <c r="X5" s="238"/>
    </row>
    <row r="6" spans="1:27" x14ac:dyDescent="0.15">
      <c r="A6" s="124" t="s">
        <v>114</v>
      </c>
      <c r="B6" s="212"/>
      <c r="C6" s="431" t="s">
        <v>111</v>
      </c>
      <c r="D6" s="432"/>
      <c r="E6" s="432"/>
      <c r="F6" s="432"/>
      <c r="G6" s="432"/>
      <c r="H6" s="432"/>
      <c r="I6" s="432"/>
      <c r="J6" s="432"/>
      <c r="K6" s="433"/>
      <c r="L6" s="198" t="s">
        <v>42</v>
      </c>
      <c r="M6" s="434" t="s">
        <v>112</v>
      </c>
      <c r="N6" s="435"/>
      <c r="O6" s="435"/>
      <c r="P6" s="435"/>
      <c r="Q6" s="435"/>
      <c r="R6" s="436"/>
      <c r="S6" s="219" t="s">
        <v>43</v>
      </c>
      <c r="T6" s="262" t="s">
        <v>350</v>
      </c>
      <c r="U6" s="207" t="s">
        <v>351</v>
      </c>
      <c r="V6" s="438" t="s">
        <v>113</v>
      </c>
      <c r="W6" s="439"/>
      <c r="X6" s="439"/>
      <c r="Y6" s="440"/>
    </row>
    <row r="7" spans="1:27" x14ac:dyDescent="0.15">
      <c r="A7" s="129" t="s">
        <v>96</v>
      </c>
      <c r="B7" s="214" t="s">
        <v>36</v>
      </c>
      <c r="C7" s="130" t="s">
        <v>252</v>
      </c>
      <c r="D7" s="131"/>
      <c r="E7" s="271" t="s">
        <v>121</v>
      </c>
      <c r="F7" s="193" t="s">
        <v>253</v>
      </c>
      <c r="G7" s="224"/>
      <c r="H7" s="44"/>
      <c r="I7" s="199" t="s">
        <v>123</v>
      </c>
      <c r="J7" s="229" t="s">
        <v>115</v>
      </c>
      <c r="K7" s="40" t="s">
        <v>340</v>
      </c>
      <c r="L7" s="199" t="s">
        <v>339</v>
      </c>
      <c r="M7" s="224" t="s">
        <v>254</v>
      </c>
      <c r="N7" s="44"/>
      <c r="O7" s="44" t="s">
        <v>237</v>
      </c>
      <c r="P7" s="253" t="s">
        <v>89</v>
      </c>
      <c r="Q7" s="229" t="s">
        <v>115</v>
      </c>
      <c r="R7" s="40" t="s">
        <v>340</v>
      </c>
      <c r="S7" s="199"/>
      <c r="T7" s="263"/>
      <c r="U7" s="208"/>
      <c r="V7" s="40" t="s">
        <v>255</v>
      </c>
      <c r="W7" s="40" t="s">
        <v>238</v>
      </c>
      <c r="X7" s="236" t="s">
        <v>115</v>
      </c>
      <c r="Y7" s="40" t="s">
        <v>340</v>
      </c>
    </row>
    <row r="8" spans="1:27" ht="9" customHeight="1" x14ac:dyDescent="0.15">
      <c r="A8" s="133"/>
      <c r="B8" s="215">
        <f>B157</f>
        <v>65.5</v>
      </c>
      <c r="C8" s="135"/>
      <c r="D8" s="136" t="s">
        <v>41</v>
      </c>
      <c r="E8" s="272" t="s">
        <v>40</v>
      </c>
      <c r="F8" s="222"/>
      <c r="G8" s="194"/>
      <c r="H8" s="36"/>
      <c r="I8" s="200"/>
      <c r="J8" s="230"/>
      <c r="K8" s="36"/>
      <c r="L8" s="200"/>
      <c r="M8" s="194"/>
      <c r="N8" s="190"/>
      <c r="O8" s="36"/>
      <c r="P8" s="254"/>
      <c r="Q8" s="230"/>
      <c r="R8" s="36"/>
      <c r="S8" s="220"/>
      <c r="T8" s="264"/>
      <c r="U8" s="209">
        <f>27084666.54-547744.25-593623.12</f>
        <v>25943299.169999998</v>
      </c>
      <c r="V8" s="48"/>
      <c r="W8" s="48"/>
      <c r="X8" s="230"/>
      <c r="Y8" s="36"/>
    </row>
    <row r="9" spans="1:27" s="175" customFormat="1" ht="10.5" customHeight="1" x14ac:dyDescent="0.15">
      <c r="A9" s="168" t="s">
        <v>49</v>
      </c>
      <c r="B9" s="216">
        <f>B10+B11+B26+B31+B32+B33+B35+B34+B36+B37+B39+B40</f>
        <v>13.16</v>
      </c>
      <c r="C9" s="258">
        <f t="shared" ref="C9:T9" si="0">C10+C11+C26+C31+C32+C33+C35+C34+C36+C37+C39+C40</f>
        <v>5730.9817382015262</v>
      </c>
      <c r="D9" s="269">
        <f t="shared" si="0"/>
        <v>5730981.738201526</v>
      </c>
      <c r="E9" s="269" t="b">
        <f>AA66=E10+E11+E26+E31+E32+E33+E35+E34+E36+E37+E39+E40</f>
        <v>0</v>
      </c>
      <c r="F9" s="258">
        <f>F10+F11+F26+F31+F32+F33+F35+F34+F36+F37+F39+F40</f>
        <v>6373.8277500000004</v>
      </c>
      <c r="G9" s="258">
        <f>L9/4*3</f>
        <v>6373827.75</v>
      </c>
      <c r="H9" s="259">
        <f>L9-I9</f>
        <v>6946937</v>
      </c>
      <c r="I9" s="258">
        <f t="shared" si="0"/>
        <v>1551500</v>
      </c>
      <c r="J9" s="258">
        <f>J10+J11+J26+J31+J32+J33+J35+J34+J36+J37+J39+J40</f>
        <v>8234.1790000000001</v>
      </c>
      <c r="K9" s="258">
        <f t="shared" si="0"/>
        <v>8498.4370000000017</v>
      </c>
      <c r="L9" s="285">
        <f>L10+L11+L26+L31+L32+L33+L35+L34+L36+L37+L39+L40</f>
        <v>8498437</v>
      </c>
      <c r="M9" s="258">
        <f t="shared" si="0"/>
        <v>0</v>
      </c>
      <c r="N9" s="251">
        <f t="shared" si="0"/>
        <v>0</v>
      </c>
      <c r="O9" s="258">
        <f>O10+O11+O26+O31+O32+O33+O35+O34+O36+O37+O39+O40</f>
        <v>-393.75</v>
      </c>
      <c r="P9" s="251">
        <f>S9/4*3</f>
        <v>393750</v>
      </c>
      <c r="Q9" s="258">
        <f>Q10+Q11+Q26+Q31+Q32+Q33+Q35+Q34+Q36+Q37+Q39+Q40</f>
        <v>-562</v>
      </c>
      <c r="R9" s="258">
        <f t="shared" si="0"/>
        <v>-525</v>
      </c>
      <c r="S9" s="251">
        <f>S10+S11+S26+S31+S32+S33+S35+S34+S36+S37+S39+S40</f>
        <v>525000</v>
      </c>
      <c r="T9" s="280">
        <f t="shared" si="0"/>
        <v>0</v>
      </c>
      <c r="U9" s="251">
        <f>U10+U11+U26+U31+U32+U33+U35+U34+U36+U37+U39+U40</f>
        <v>5212424.6882015262</v>
      </c>
      <c r="V9" s="258">
        <f>V10+V11+V26+V31+V32+V33+V35+V34+V36+V37+V39+V40</f>
        <v>5730.9817382015262</v>
      </c>
      <c r="W9" s="258">
        <f>W10+W11+W26+W31+W32+W33+W35+W34+W36+W37+W39+W40</f>
        <v>5980.0777500000004</v>
      </c>
      <c r="X9" s="258">
        <f>X10+X11+X26+X31+X32+X33+X35+X34+X36+X37+X39+X40</f>
        <v>7672.1790000000001</v>
      </c>
      <c r="Y9" s="258">
        <f>Y10+Y11+Y26+Y31+Y32+Y33+Y35+Y34+Y36+Y37+Y39+Y40</f>
        <v>7973.4369999999999</v>
      </c>
      <c r="Z9" s="250">
        <f>J9-C9</f>
        <v>2503.1972617984738</v>
      </c>
      <c r="AA9" s="174">
        <f>M9-Q9</f>
        <v>562</v>
      </c>
    </row>
    <row r="10" spans="1:27" ht="9.9499999999999993" customHeight="1" x14ac:dyDescent="0.15">
      <c r="A10" s="142" t="s">
        <v>256</v>
      </c>
      <c r="B10" s="212">
        <f>SUM(B11:B25)</f>
        <v>6</v>
      </c>
      <c r="C10" s="257">
        <f>SUM(C11:C25)</f>
        <v>2546.8254201526715</v>
      </c>
      <c r="D10" s="257">
        <f t="shared" ref="D10:Y10" si="1">SUM(D11:D25)</f>
        <v>2546825.4201526721</v>
      </c>
      <c r="E10" s="269">
        <f>SUM(E11:E25)</f>
        <v>170340</v>
      </c>
      <c r="F10" s="257">
        <f>SUM(F11:F25)</f>
        <v>2570.4727499999999</v>
      </c>
      <c r="G10" s="258">
        <f t="shared" ref="G10:G73" si="2">L10/4*3</f>
        <v>2570472.75</v>
      </c>
      <c r="H10" s="258">
        <f t="shared" ref="H10:H73" si="3">L10-I10</f>
        <v>3167297</v>
      </c>
      <c r="I10" s="257">
        <f>SUM(I11:I25)</f>
        <v>260000</v>
      </c>
      <c r="J10" s="257">
        <f t="shared" si="1"/>
        <v>3428.297</v>
      </c>
      <c r="K10" s="257">
        <f>SUM(K11:K25)</f>
        <v>3427.297</v>
      </c>
      <c r="L10" s="286">
        <f t="shared" si="1"/>
        <v>3427297</v>
      </c>
      <c r="M10" s="257">
        <f>SUM(M11:M25)</f>
        <v>0</v>
      </c>
      <c r="N10" s="279">
        <f t="shared" si="1"/>
        <v>0</v>
      </c>
      <c r="O10" s="281">
        <f t="shared" ref="O10:O39" si="4">P10/1000*-1</f>
        <v>0</v>
      </c>
      <c r="P10" s="251">
        <f t="shared" ref="P10:P73" si="5">S10/4*3</f>
        <v>0</v>
      </c>
      <c r="Q10" s="279">
        <f>SUM(Q11:Q25)</f>
        <v>0</v>
      </c>
      <c r="R10" s="279">
        <f t="shared" si="1"/>
        <v>0</v>
      </c>
      <c r="S10" s="279">
        <f t="shared" si="1"/>
        <v>0</v>
      </c>
      <c r="T10" s="282">
        <f t="shared" si="1"/>
        <v>0</v>
      </c>
      <c r="U10" s="280">
        <f>SUM(U11:U25)</f>
        <v>2376485.4201526721</v>
      </c>
      <c r="V10" s="284">
        <f t="shared" ref="V10:V72" si="6">C10+M10</f>
        <v>2546.8254201526715</v>
      </c>
      <c r="W10" s="257">
        <f t="shared" si="1"/>
        <v>2570.4727499999999</v>
      </c>
      <c r="X10" s="257">
        <f t="shared" si="1"/>
        <v>3428.297</v>
      </c>
      <c r="Y10" s="257">
        <f t="shared" si="1"/>
        <v>3427.297</v>
      </c>
      <c r="Z10" s="250">
        <f t="shared" ref="Z10:Z73" si="7">J10-C10</f>
        <v>881.47157984732848</v>
      </c>
      <c r="AA10" s="174">
        <f t="shared" ref="AA10:AA73" si="8">M10-Q10</f>
        <v>0</v>
      </c>
    </row>
    <row r="11" spans="1:27" ht="9.9499999999999993" hidden="1" customHeight="1" x14ac:dyDescent="0.15">
      <c r="A11" s="142"/>
      <c r="B11" s="212"/>
      <c r="C11" s="140"/>
      <c r="D11" s="41"/>
      <c r="E11" s="273"/>
      <c r="F11" s="195"/>
      <c r="G11" s="258">
        <f t="shared" si="2"/>
        <v>0</v>
      </c>
      <c r="H11" s="246">
        <f t="shared" si="3"/>
        <v>0</v>
      </c>
      <c r="I11" s="198"/>
      <c r="J11" s="231"/>
      <c r="K11" s="41"/>
      <c r="L11" s="198"/>
      <c r="M11" s="195"/>
      <c r="N11" s="33"/>
      <c r="O11" s="41">
        <f t="shared" si="4"/>
        <v>0</v>
      </c>
      <c r="P11" s="251">
        <f t="shared" si="5"/>
        <v>0</v>
      </c>
      <c r="Q11" s="231"/>
      <c r="R11" s="41"/>
      <c r="S11" s="198"/>
      <c r="T11" s="265"/>
      <c r="U11" s="210">
        <f t="shared" ref="U11:U81" si="9">$U$8/$B$8*B11</f>
        <v>0</v>
      </c>
      <c r="V11" s="33">
        <f t="shared" si="6"/>
        <v>0</v>
      </c>
      <c r="W11" s="33"/>
      <c r="X11" s="231"/>
      <c r="Y11" s="41"/>
      <c r="Z11" s="250">
        <f t="shared" si="7"/>
        <v>0</v>
      </c>
      <c r="AA11" s="174">
        <f t="shared" si="8"/>
        <v>0</v>
      </c>
    </row>
    <row r="12" spans="1:27" ht="9.9499999999999993" customHeight="1" x14ac:dyDescent="0.15">
      <c r="A12" s="144" t="s">
        <v>257</v>
      </c>
      <c r="B12" s="215">
        <v>5.9</v>
      </c>
      <c r="C12" s="145">
        <f>D12/1000</f>
        <v>2419.856299816794</v>
      </c>
      <c r="D12" s="191">
        <f t="shared" ref="D12:D24" si="10">E12+U12</f>
        <v>2419856.2998167942</v>
      </c>
      <c r="E12" s="274">
        <v>82978.97</v>
      </c>
      <c r="F12" s="196">
        <f>G12/1000</f>
        <v>2455.88175</v>
      </c>
      <c r="G12" s="258">
        <f t="shared" si="2"/>
        <v>2455881.75</v>
      </c>
      <c r="H12" s="246">
        <f t="shared" si="3"/>
        <v>3114509</v>
      </c>
      <c r="I12" s="200">
        <f>L12-3114509</f>
        <v>160000</v>
      </c>
      <c r="J12" s="230">
        <f>K12</f>
        <v>3274.509</v>
      </c>
      <c r="K12" s="43">
        <f>L12/1000</f>
        <v>3274.509</v>
      </c>
      <c r="L12" s="198">
        <v>3274509</v>
      </c>
      <c r="M12" s="196">
        <f t="shared" ref="M12:M81" si="11">T12/1000*-1</f>
        <v>0</v>
      </c>
      <c r="N12" s="33"/>
      <c r="O12" s="43">
        <f t="shared" si="4"/>
        <v>0</v>
      </c>
      <c r="P12" s="251">
        <f t="shared" si="5"/>
        <v>0</v>
      </c>
      <c r="Q12" s="230">
        <f>R12</f>
        <v>0</v>
      </c>
      <c r="R12" s="43">
        <f t="shared" ref="R12:R75" si="12">S12/1000*-1</f>
        <v>0</v>
      </c>
      <c r="S12" s="200"/>
      <c r="T12" s="266"/>
      <c r="U12" s="227">
        <f>$U$8/$B$8*B12</f>
        <v>2336877.329816794</v>
      </c>
      <c r="V12" s="36">
        <f t="shared" si="6"/>
        <v>2419.856299816794</v>
      </c>
      <c r="W12" s="36">
        <f t="shared" ref="W12:W25" si="13">F12+O12</f>
        <v>2455.88175</v>
      </c>
      <c r="X12" s="230">
        <f t="shared" ref="X12:Y25" si="14">J12+Q12</f>
        <v>3274.509</v>
      </c>
      <c r="Y12" s="43">
        <f t="shared" si="14"/>
        <v>3274.509</v>
      </c>
      <c r="Z12" s="250">
        <f t="shared" si="7"/>
        <v>854.65270018320598</v>
      </c>
      <c r="AA12" s="174">
        <f t="shared" si="8"/>
        <v>0</v>
      </c>
    </row>
    <row r="13" spans="1:27" ht="9.9499999999999993" customHeight="1" x14ac:dyDescent="0.15">
      <c r="A13" s="144" t="s">
        <v>258</v>
      </c>
      <c r="B13" s="215">
        <v>0.1</v>
      </c>
      <c r="C13" s="145">
        <f t="shared" ref="C13:C14" si="15">D13/1000</f>
        <v>125.88312033587788</v>
      </c>
      <c r="D13" s="191">
        <f t="shared" si="10"/>
        <v>125883.12033587787</v>
      </c>
      <c r="E13" s="274">
        <v>86275.03</v>
      </c>
      <c r="F13" s="196">
        <f>G13/1000</f>
        <v>114.59099999999999</v>
      </c>
      <c r="G13" s="258">
        <f t="shared" si="2"/>
        <v>114591</v>
      </c>
      <c r="H13" s="246">
        <f t="shared" si="3"/>
        <v>52788</v>
      </c>
      <c r="I13" s="200">
        <f>L13-52788</f>
        <v>100000</v>
      </c>
      <c r="J13" s="230">
        <f t="shared" ref="J13" si="16">K13</f>
        <v>152.78800000000001</v>
      </c>
      <c r="K13" s="43">
        <f>L13/1000</f>
        <v>152.78800000000001</v>
      </c>
      <c r="L13" s="198">
        <v>152788</v>
      </c>
      <c r="M13" s="196">
        <f t="shared" si="11"/>
        <v>0</v>
      </c>
      <c r="N13" s="33"/>
      <c r="O13" s="43">
        <f t="shared" si="4"/>
        <v>0</v>
      </c>
      <c r="P13" s="251">
        <f t="shared" si="5"/>
        <v>0</v>
      </c>
      <c r="Q13" s="230">
        <f t="shared" ref="Q13:Q25" si="17">R13</f>
        <v>0</v>
      </c>
      <c r="R13" s="43">
        <f t="shared" si="12"/>
        <v>0</v>
      </c>
      <c r="S13" s="200"/>
      <c r="T13" s="266"/>
      <c r="U13" s="227">
        <f t="shared" si="9"/>
        <v>39608.090335877867</v>
      </c>
      <c r="V13" s="36">
        <f t="shared" si="6"/>
        <v>125.88312033587788</v>
      </c>
      <c r="W13" s="36">
        <f t="shared" si="13"/>
        <v>114.59099999999999</v>
      </c>
      <c r="X13" s="230">
        <f t="shared" si="14"/>
        <v>152.78800000000001</v>
      </c>
      <c r="Y13" s="43">
        <f t="shared" si="14"/>
        <v>152.78800000000001</v>
      </c>
      <c r="Z13" s="250">
        <f t="shared" si="7"/>
        <v>26.904879664122134</v>
      </c>
      <c r="AA13" s="174">
        <f t="shared" si="8"/>
        <v>0</v>
      </c>
    </row>
    <row r="14" spans="1:27" ht="9.9499999999999993" customHeight="1" x14ac:dyDescent="0.15">
      <c r="A14" s="144" t="s">
        <v>259</v>
      </c>
      <c r="B14" s="215">
        <v>0</v>
      </c>
      <c r="C14" s="145">
        <f t="shared" si="15"/>
        <v>1.0860000000000001</v>
      </c>
      <c r="D14" s="191">
        <f t="shared" si="10"/>
        <v>1086</v>
      </c>
      <c r="E14" s="274">
        <v>1086</v>
      </c>
      <c r="F14" s="196">
        <f t="shared" ref="F14:F81" si="18">G14/1000</f>
        <v>0</v>
      </c>
      <c r="G14" s="258">
        <f t="shared" si="2"/>
        <v>0</v>
      </c>
      <c r="H14" s="246">
        <f t="shared" si="3"/>
        <v>0</v>
      </c>
      <c r="I14" s="200">
        <f t="shared" ref="I14:I76" si="19">L14</f>
        <v>0</v>
      </c>
      <c r="J14" s="230">
        <v>1</v>
      </c>
      <c r="K14" s="43">
        <f t="shared" ref="K14:K25" si="20">L14/1000</f>
        <v>0</v>
      </c>
      <c r="L14" s="198"/>
      <c r="M14" s="196">
        <f t="shared" si="11"/>
        <v>0</v>
      </c>
      <c r="N14" s="33"/>
      <c r="O14" s="43">
        <f t="shared" si="4"/>
        <v>0</v>
      </c>
      <c r="P14" s="251">
        <f t="shared" si="5"/>
        <v>0</v>
      </c>
      <c r="Q14" s="230">
        <f t="shared" si="17"/>
        <v>0</v>
      </c>
      <c r="R14" s="43">
        <f t="shared" si="12"/>
        <v>0</v>
      </c>
      <c r="S14" s="200"/>
      <c r="T14" s="266"/>
      <c r="U14" s="227">
        <f t="shared" si="9"/>
        <v>0</v>
      </c>
      <c r="V14" s="36">
        <f t="shared" si="6"/>
        <v>1.0860000000000001</v>
      </c>
      <c r="W14" s="36">
        <f t="shared" si="13"/>
        <v>0</v>
      </c>
      <c r="X14" s="230">
        <f t="shared" si="14"/>
        <v>1</v>
      </c>
      <c r="Y14" s="43">
        <f t="shared" si="14"/>
        <v>0</v>
      </c>
      <c r="Z14" s="250">
        <f t="shared" si="7"/>
        <v>-8.6000000000000076E-2</v>
      </c>
      <c r="AA14" s="174">
        <f t="shared" si="8"/>
        <v>0</v>
      </c>
    </row>
    <row r="15" spans="1:27" ht="9.9499999999999993" hidden="1" customHeight="1" x14ac:dyDescent="0.15">
      <c r="A15" s="144"/>
      <c r="B15" s="215"/>
      <c r="C15" s="140"/>
      <c r="D15" s="41">
        <f t="shared" si="10"/>
        <v>0</v>
      </c>
      <c r="E15" s="273"/>
      <c r="F15" s="196">
        <f t="shared" si="18"/>
        <v>0</v>
      </c>
      <c r="G15" s="258">
        <f t="shared" si="2"/>
        <v>0</v>
      </c>
      <c r="H15" s="246">
        <f t="shared" si="3"/>
        <v>0</v>
      </c>
      <c r="I15" s="200">
        <f t="shared" si="19"/>
        <v>0</v>
      </c>
      <c r="J15" s="230"/>
      <c r="K15" s="43">
        <f t="shared" si="20"/>
        <v>0</v>
      </c>
      <c r="L15" s="198"/>
      <c r="M15" s="196">
        <f t="shared" si="11"/>
        <v>0</v>
      </c>
      <c r="N15" s="33"/>
      <c r="O15" s="41">
        <f t="shared" si="4"/>
        <v>0</v>
      </c>
      <c r="P15" s="251">
        <f t="shared" si="5"/>
        <v>0</v>
      </c>
      <c r="Q15" s="230">
        <f t="shared" si="17"/>
        <v>0</v>
      </c>
      <c r="R15" s="41">
        <f t="shared" si="12"/>
        <v>0</v>
      </c>
      <c r="S15" s="198"/>
      <c r="T15" s="265"/>
      <c r="U15" s="210">
        <f t="shared" si="9"/>
        <v>0</v>
      </c>
      <c r="V15" s="33">
        <f t="shared" si="6"/>
        <v>0</v>
      </c>
      <c r="W15" s="33">
        <f t="shared" si="13"/>
        <v>0</v>
      </c>
      <c r="X15" s="231">
        <f t="shared" si="14"/>
        <v>0</v>
      </c>
      <c r="Y15" s="41">
        <f t="shared" si="14"/>
        <v>0</v>
      </c>
      <c r="Z15" s="250">
        <f t="shared" si="7"/>
        <v>0</v>
      </c>
      <c r="AA15" s="174">
        <f t="shared" si="8"/>
        <v>0</v>
      </c>
    </row>
    <row r="16" spans="1:27" ht="9.9499999999999993" hidden="1" customHeight="1" x14ac:dyDescent="0.15">
      <c r="A16" s="144"/>
      <c r="B16" s="215"/>
      <c r="C16" s="140"/>
      <c r="D16" s="41">
        <f t="shared" si="10"/>
        <v>0</v>
      </c>
      <c r="E16" s="273"/>
      <c r="F16" s="196">
        <f t="shared" si="18"/>
        <v>0</v>
      </c>
      <c r="G16" s="258">
        <f t="shared" si="2"/>
        <v>0</v>
      </c>
      <c r="H16" s="246">
        <f t="shared" si="3"/>
        <v>0</v>
      </c>
      <c r="I16" s="200">
        <f t="shared" si="19"/>
        <v>0</v>
      </c>
      <c r="J16" s="230"/>
      <c r="K16" s="43">
        <f t="shared" si="20"/>
        <v>0</v>
      </c>
      <c r="L16" s="198"/>
      <c r="M16" s="196">
        <f t="shared" si="11"/>
        <v>0</v>
      </c>
      <c r="N16" s="33"/>
      <c r="O16" s="41">
        <f t="shared" si="4"/>
        <v>0</v>
      </c>
      <c r="P16" s="251">
        <f t="shared" si="5"/>
        <v>0</v>
      </c>
      <c r="Q16" s="230">
        <f t="shared" si="17"/>
        <v>0</v>
      </c>
      <c r="R16" s="41">
        <f t="shared" si="12"/>
        <v>0</v>
      </c>
      <c r="S16" s="198"/>
      <c r="T16" s="265"/>
      <c r="U16" s="210">
        <f t="shared" si="9"/>
        <v>0</v>
      </c>
      <c r="V16" s="33">
        <f t="shared" si="6"/>
        <v>0</v>
      </c>
      <c r="W16" s="33">
        <f t="shared" si="13"/>
        <v>0</v>
      </c>
      <c r="X16" s="231">
        <f t="shared" si="14"/>
        <v>0</v>
      </c>
      <c r="Y16" s="41">
        <f t="shared" si="14"/>
        <v>0</v>
      </c>
      <c r="Z16" s="250">
        <f t="shared" si="7"/>
        <v>0</v>
      </c>
      <c r="AA16" s="174">
        <f t="shared" si="8"/>
        <v>0</v>
      </c>
    </row>
    <row r="17" spans="1:27" ht="9.9499999999999993" hidden="1" customHeight="1" x14ac:dyDescent="0.15">
      <c r="A17" s="144"/>
      <c r="B17" s="215"/>
      <c r="C17" s="140"/>
      <c r="D17" s="41">
        <f t="shared" si="10"/>
        <v>0</v>
      </c>
      <c r="E17" s="273"/>
      <c r="F17" s="196">
        <f t="shared" si="18"/>
        <v>0</v>
      </c>
      <c r="G17" s="258">
        <f t="shared" si="2"/>
        <v>0</v>
      </c>
      <c r="H17" s="246">
        <f t="shared" si="3"/>
        <v>0</v>
      </c>
      <c r="I17" s="200">
        <f t="shared" si="19"/>
        <v>0</v>
      </c>
      <c r="J17" s="230"/>
      <c r="K17" s="43">
        <f t="shared" si="20"/>
        <v>0</v>
      </c>
      <c r="L17" s="198"/>
      <c r="M17" s="196">
        <f t="shared" si="11"/>
        <v>0</v>
      </c>
      <c r="N17" s="33"/>
      <c r="O17" s="41">
        <f t="shared" si="4"/>
        <v>0</v>
      </c>
      <c r="P17" s="251">
        <f t="shared" si="5"/>
        <v>0</v>
      </c>
      <c r="Q17" s="230">
        <f t="shared" si="17"/>
        <v>0</v>
      </c>
      <c r="R17" s="41">
        <f t="shared" si="12"/>
        <v>0</v>
      </c>
      <c r="S17" s="198"/>
      <c r="T17" s="265"/>
      <c r="U17" s="210">
        <f t="shared" si="9"/>
        <v>0</v>
      </c>
      <c r="V17" s="33">
        <f t="shared" si="6"/>
        <v>0</v>
      </c>
      <c r="W17" s="33">
        <f t="shared" si="13"/>
        <v>0</v>
      </c>
      <c r="X17" s="231">
        <f t="shared" si="14"/>
        <v>0</v>
      </c>
      <c r="Y17" s="41">
        <f t="shared" si="14"/>
        <v>0</v>
      </c>
      <c r="Z17" s="250">
        <f t="shared" si="7"/>
        <v>0</v>
      </c>
      <c r="AA17" s="174">
        <f t="shared" si="8"/>
        <v>0</v>
      </c>
    </row>
    <row r="18" spans="1:27" ht="9.9499999999999993" hidden="1" customHeight="1" x14ac:dyDescent="0.15">
      <c r="A18" s="144"/>
      <c r="B18" s="215"/>
      <c r="C18" s="140"/>
      <c r="D18" s="41">
        <f t="shared" si="10"/>
        <v>0</v>
      </c>
      <c r="E18" s="273"/>
      <c r="F18" s="196">
        <f t="shared" si="18"/>
        <v>0</v>
      </c>
      <c r="G18" s="258">
        <f t="shared" si="2"/>
        <v>0</v>
      </c>
      <c r="H18" s="246">
        <f t="shared" si="3"/>
        <v>0</v>
      </c>
      <c r="I18" s="200">
        <f t="shared" si="19"/>
        <v>0</v>
      </c>
      <c r="J18" s="230"/>
      <c r="K18" s="43">
        <f t="shared" si="20"/>
        <v>0</v>
      </c>
      <c r="L18" s="198"/>
      <c r="M18" s="196">
        <f t="shared" si="11"/>
        <v>0</v>
      </c>
      <c r="N18" s="33"/>
      <c r="O18" s="41">
        <f t="shared" si="4"/>
        <v>0</v>
      </c>
      <c r="P18" s="251">
        <f t="shared" si="5"/>
        <v>0</v>
      </c>
      <c r="Q18" s="230">
        <f t="shared" si="17"/>
        <v>0</v>
      </c>
      <c r="R18" s="41">
        <f t="shared" si="12"/>
        <v>0</v>
      </c>
      <c r="S18" s="198"/>
      <c r="T18" s="265"/>
      <c r="U18" s="210">
        <f t="shared" si="9"/>
        <v>0</v>
      </c>
      <c r="V18" s="33">
        <f t="shared" si="6"/>
        <v>0</v>
      </c>
      <c r="W18" s="33">
        <f t="shared" si="13"/>
        <v>0</v>
      </c>
      <c r="X18" s="231">
        <f t="shared" si="14"/>
        <v>0</v>
      </c>
      <c r="Y18" s="41">
        <f t="shared" si="14"/>
        <v>0</v>
      </c>
      <c r="Z18" s="250">
        <f t="shared" si="7"/>
        <v>0</v>
      </c>
      <c r="AA18" s="174">
        <f t="shared" si="8"/>
        <v>0</v>
      </c>
    </row>
    <row r="19" spans="1:27" ht="9.9499999999999993" hidden="1" customHeight="1" x14ac:dyDescent="0.15">
      <c r="A19" s="144"/>
      <c r="B19" s="215"/>
      <c r="C19" s="140"/>
      <c r="D19" s="41">
        <f t="shared" si="10"/>
        <v>0</v>
      </c>
      <c r="E19" s="273"/>
      <c r="F19" s="196">
        <f t="shared" si="18"/>
        <v>0</v>
      </c>
      <c r="G19" s="258">
        <f t="shared" si="2"/>
        <v>0</v>
      </c>
      <c r="H19" s="246">
        <f t="shared" si="3"/>
        <v>0</v>
      </c>
      <c r="I19" s="200">
        <f t="shared" si="19"/>
        <v>0</v>
      </c>
      <c r="J19" s="230"/>
      <c r="K19" s="43">
        <f t="shared" si="20"/>
        <v>0</v>
      </c>
      <c r="L19" s="198"/>
      <c r="M19" s="196">
        <f t="shared" si="11"/>
        <v>0</v>
      </c>
      <c r="N19" s="33"/>
      <c r="O19" s="41">
        <f t="shared" si="4"/>
        <v>0</v>
      </c>
      <c r="P19" s="251">
        <f t="shared" si="5"/>
        <v>0</v>
      </c>
      <c r="Q19" s="230">
        <f t="shared" si="17"/>
        <v>0</v>
      </c>
      <c r="R19" s="41">
        <f t="shared" si="12"/>
        <v>0</v>
      </c>
      <c r="S19" s="198"/>
      <c r="T19" s="265"/>
      <c r="U19" s="210">
        <f t="shared" si="9"/>
        <v>0</v>
      </c>
      <c r="V19" s="33">
        <f t="shared" si="6"/>
        <v>0</v>
      </c>
      <c r="W19" s="33">
        <f t="shared" si="13"/>
        <v>0</v>
      </c>
      <c r="X19" s="231">
        <f t="shared" si="14"/>
        <v>0</v>
      </c>
      <c r="Y19" s="41">
        <f t="shared" si="14"/>
        <v>0</v>
      </c>
      <c r="Z19" s="250">
        <f t="shared" si="7"/>
        <v>0</v>
      </c>
      <c r="AA19" s="174">
        <f t="shared" si="8"/>
        <v>0</v>
      </c>
    </row>
    <row r="20" spans="1:27" ht="9.9499999999999993" hidden="1" customHeight="1" x14ac:dyDescent="0.15">
      <c r="A20" s="144"/>
      <c r="B20" s="215"/>
      <c r="C20" s="140"/>
      <c r="D20" s="41">
        <v>0</v>
      </c>
      <c r="E20" s="273">
        <v>0</v>
      </c>
      <c r="F20" s="196">
        <f t="shared" si="18"/>
        <v>0</v>
      </c>
      <c r="G20" s="258">
        <f t="shared" si="2"/>
        <v>0</v>
      </c>
      <c r="H20" s="246">
        <f t="shared" si="3"/>
        <v>0</v>
      </c>
      <c r="I20" s="200">
        <f t="shared" si="19"/>
        <v>0</v>
      </c>
      <c r="J20" s="230"/>
      <c r="K20" s="43">
        <f t="shared" si="20"/>
        <v>0</v>
      </c>
      <c r="L20" s="198"/>
      <c r="M20" s="196">
        <f t="shared" si="11"/>
        <v>0</v>
      </c>
      <c r="N20" s="33"/>
      <c r="O20" s="41">
        <f t="shared" si="4"/>
        <v>0</v>
      </c>
      <c r="P20" s="251">
        <f t="shared" si="5"/>
        <v>0</v>
      </c>
      <c r="Q20" s="230">
        <f t="shared" si="17"/>
        <v>0</v>
      </c>
      <c r="R20" s="41">
        <f t="shared" si="12"/>
        <v>0</v>
      </c>
      <c r="S20" s="198"/>
      <c r="T20" s="265"/>
      <c r="U20" s="210">
        <f t="shared" si="9"/>
        <v>0</v>
      </c>
      <c r="V20" s="33">
        <f t="shared" si="6"/>
        <v>0</v>
      </c>
      <c r="W20" s="33">
        <f t="shared" si="13"/>
        <v>0</v>
      </c>
      <c r="X20" s="231">
        <f t="shared" si="14"/>
        <v>0</v>
      </c>
      <c r="Y20" s="41">
        <f t="shared" si="14"/>
        <v>0</v>
      </c>
      <c r="Z20" s="250">
        <f t="shared" si="7"/>
        <v>0</v>
      </c>
      <c r="AA20" s="174">
        <f t="shared" si="8"/>
        <v>0</v>
      </c>
    </row>
    <row r="21" spans="1:27" ht="9.9499999999999993" hidden="1" customHeight="1" x14ac:dyDescent="0.15">
      <c r="A21" s="144"/>
      <c r="B21" s="215"/>
      <c r="C21" s="140"/>
      <c r="D21" s="41">
        <v>0</v>
      </c>
      <c r="E21" s="273">
        <v>0</v>
      </c>
      <c r="F21" s="196">
        <f t="shared" si="18"/>
        <v>0</v>
      </c>
      <c r="G21" s="258">
        <f t="shared" si="2"/>
        <v>0</v>
      </c>
      <c r="H21" s="246">
        <f t="shared" si="3"/>
        <v>0</v>
      </c>
      <c r="I21" s="200">
        <f t="shared" si="19"/>
        <v>0</v>
      </c>
      <c r="J21" s="230"/>
      <c r="K21" s="43">
        <f t="shared" si="20"/>
        <v>0</v>
      </c>
      <c r="L21" s="198"/>
      <c r="M21" s="196">
        <f t="shared" si="11"/>
        <v>0</v>
      </c>
      <c r="N21" s="33"/>
      <c r="O21" s="41">
        <f t="shared" si="4"/>
        <v>0</v>
      </c>
      <c r="P21" s="251">
        <f t="shared" si="5"/>
        <v>0</v>
      </c>
      <c r="Q21" s="230">
        <f t="shared" si="17"/>
        <v>0</v>
      </c>
      <c r="R21" s="41">
        <f t="shared" si="12"/>
        <v>0</v>
      </c>
      <c r="S21" s="198"/>
      <c r="T21" s="265"/>
      <c r="U21" s="210">
        <f t="shared" si="9"/>
        <v>0</v>
      </c>
      <c r="V21" s="33">
        <f t="shared" si="6"/>
        <v>0</v>
      </c>
      <c r="W21" s="33">
        <f t="shared" si="13"/>
        <v>0</v>
      </c>
      <c r="X21" s="231">
        <f t="shared" si="14"/>
        <v>0</v>
      </c>
      <c r="Y21" s="41">
        <f t="shared" si="14"/>
        <v>0</v>
      </c>
      <c r="Z21" s="250">
        <f t="shared" si="7"/>
        <v>0</v>
      </c>
      <c r="AA21" s="174">
        <f t="shared" si="8"/>
        <v>0</v>
      </c>
    </row>
    <row r="22" spans="1:27" ht="9.9499999999999993" hidden="1" customHeight="1" x14ac:dyDescent="0.15">
      <c r="A22" s="144"/>
      <c r="B22" s="215"/>
      <c r="C22" s="140"/>
      <c r="D22" s="41">
        <f t="shared" si="10"/>
        <v>0</v>
      </c>
      <c r="E22" s="273"/>
      <c r="F22" s="196">
        <f t="shared" si="18"/>
        <v>0</v>
      </c>
      <c r="G22" s="258">
        <f t="shared" si="2"/>
        <v>0</v>
      </c>
      <c r="H22" s="246">
        <f t="shared" si="3"/>
        <v>0</v>
      </c>
      <c r="I22" s="200">
        <f t="shared" si="19"/>
        <v>0</v>
      </c>
      <c r="J22" s="230"/>
      <c r="K22" s="43">
        <f t="shared" si="20"/>
        <v>0</v>
      </c>
      <c r="L22" s="198"/>
      <c r="M22" s="196">
        <f t="shared" si="11"/>
        <v>0</v>
      </c>
      <c r="N22" s="33"/>
      <c r="O22" s="41">
        <f t="shared" si="4"/>
        <v>0</v>
      </c>
      <c r="P22" s="251">
        <f t="shared" si="5"/>
        <v>0</v>
      </c>
      <c r="Q22" s="230">
        <f t="shared" si="17"/>
        <v>0</v>
      </c>
      <c r="R22" s="41">
        <f t="shared" si="12"/>
        <v>0</v>
      </c>
      <c r="S22" s="198"/>
      <c r="T22" s="265"/>
      <c r="U22" s="210">
        <f t="shared" si="9"/>
        <v>0</v>
      </c>
      <c r="V22" s="33">
        <f t="shared" si="6"/>
        <v>0</v>
      </c>
      <c r="W22" s="33">
        <f t="shared" si="13"/>
        <v>0</v>
      </c>
      <c r="X22" s="231">
        <f t="shared" si="14"/>
        <v>0</v>
      </c>
      <c r="Y22" s="41">
        <f t="shared" si="14"/>
        <v>0</v>
      </c>
      <c r="Z22" s="250">
        <f t="shared" si="7"/>
        <v>0</v>
      </c>
      <c r="AA22" s="174">
        <f t="shared" si="8"/>
        <v>0</v>
      </c>
    </row>
    <row r="23" spans="1:27" ht="9.9499999999999993" hidden="1" customHeight="1" x14ac:dyDescent="0.15">
      <c r="A23" s="144"/>
      <c r="B23" s="215"/>
      <c r="C23" s="140"/>
      <c r="D23" s="41">
        <f t="shared" si="10"/>
        <v>0</v>
      </c>
      <c r="E23" s="273"/>
      <c r="F23" s="196">
        <f t="shared" si="18"/>
        <v>0</v>
      </c>
      <c r="G23" s="258">
        <f t="shared" si="2"/>
        <v>0</v>
      </c>
      <c r="H23" s="246">
        <f t="shared" si="3"/>
        <v>0</v>
      </c>
      <c r="I23" s="200">
        <f t="shared" si="19"/>
        <v>0</v>
      </c>
      <c r="J23" s="230"/>
      <c r="K23" s="43">
        <f t="shared" si="20"/>
        <v>0</v>
      </c>
      <c r="L23" s="198"/>
      <c r="M23" s="196">
        <f t="shared" si="11"/>
        <v>0</v>
      </c>
      <c r="N23" s="33"/>
      <c r="O23" s="41">
        <f t="shared" si="4"/>
        <v>0</v>
      </c>
      <c r="P23" s="251">
        <f t="shared" si="5"/>
        <v>0</v>
      </c>
      <c r="Q23" s="230">
        <f t="shared" si="17"/>
        <v>0</v>
      </c>
      <c r="R23" s="41">
        <f t="shared" si="12"/>
        <v>0</v>
      </c>
      <c r="S23" s="198"/>
      <c r="T23" s="265"/>
      <c r="U23" s="210">
        <f t="shared" si="9"/>
        <v>0</v>
      </c>
      <c r="V23" s="33">
        <f t="shared" si="6"/>
        <v>0</v>
      </c>
      <c r="W23" s="33">
        <f t="shared" si="13"/>
        <v>0</v>
      </c>
      <c r="X23" s="231">
        <f t="shared" si="14"/>
        <v>0</v>
      </c>
      <c r="Y23" s="41">
        <f t="shared" si="14"/>
        <v>0</v>
      </c>
      <c r="Z23" s="250">
        <f t="shared" si="7"/>
        <v>0</v>
      </c>
      <c r="AA23" s="174">
        <f t="shared" si="8"/>
        <v>0</v>
      </c>
    </row>
    <row r="24" spans="1:27" ht="9.9499999999999993" hidden="1" customHeight="1" x14ac:dyDescent="0.15">
      <c r="A24" s="144"/>
      <c r="B24" s="215"/>
      <c r="C24" s="140"/>
      <c r="D24" s="41">
        <f t="shared" si="10"/>
        <v>0</v>
      </c>
      <c r="E24" s="273"/>
      <c r="F24" s="196">
        <f t="shared" si="18"/>
        <v>0</v>
      </c>
      <c r="G24" s="258">
        <f t="shared" si="2"/>
        <v>0</v>
      </c>
      <c r="H24" s="246">
        <f t="shared" si="3"/>
        <v>0</v>
      </c>
      <c r="I24" s="200">
        <f t="shared" si="19"/>
        <v>0</v>
      </c>
      <c r="J24" s="230"/>
      <c r="K24" s="43">
        <f t="shared" si="20"/>
        <v>0</v>
      </c>
      <c r="L24" s="198"/>
      <c r="M24" s="196">
        <f t="shared" si="11"/>
        <v>0</v>
      </c>
      <c r="N24" s="33"/>
      <c r="O24" s="41">
        <f t="shared" si="4"/>
        <v>0</v>
      </c>
      <c r="P24" s="251">
        <f t="shared" si="5"/>
        <v>0</v>
      </c>
      <c r="Q24" s="230">
        <f t="shared" si="17"/>
        <v>0</v>
      </c>
      <c r="R24" s="41">
        <f t="shared" si="12"/>
        <v>0</v>
      </c>
      <c r="S24" s="198"/>
      <c r="T24" s="265"/>
      <c r="U24" s="210">
        <f t="shared" si="9"/>
        <v>0</v>
      </c>
      <c r="V24" s="33">
        <f t="shared" si="6"/>
        <v>0</v>
      </c>
      <c r="W24" s="33">
        <f t="shared" si="13"/>
        <v>0</v>
      </c>
      <c r="X24" s="231">
        <f t="shared" si="14"/>
        <v>0</v>
      </c>
      <c r="Y24" s="41">
        <f t="shared" si="14"/>
        <v>0</v>
      </c>
      <c r="Z24" s="250">
        <f t="shared" si="7"/>
        <v>0</v>
      </c>
      <c r="AA24" s="174">
        <f t="shared" si="8"/>
        <v>0</v>
      </c>
    </row>
    <row r="25" spans="1:27" ht="9.9499999999999993" hidden="1" customHeight="1" x14ac:dyDescent="0.15">
      <c r="A25" s="144"/>
      <c r="B25" s="212"/>
      <c r="C25" s="140"/>
      <c r="D25" s="41"/>
      <c r="E25" s="273"/>
      <c r="F25" s="195">
        <f t="shared" si="18"/>
        <v>0</v>
      </c>
      <c r="G25" s="258">
        <f t="shared" si="2"/>
        <v>0</v>
      </c>
      <c r="H25" s="246">
        <f t="shared" si="3"/>
        <v>0</v>
      </c>
      <c r="I25" s="200">
        <f t="shared" si="19"/>
        <v>0</v>
      </c>
      <c r="J25" s="231"/>
      <c r="K25" s="41">
        <f t="shared" si="20"/>
        <v>0</v>
      </c>
      <c r="L25" s="198"/>
      <c r="M25" s="195">
        <f t="shared" si="11"/>
        <v>0</v>
      </c>
      <c r="N25" s="33"/>
      <c r="O25" s="41">
        <f t="shared" si="4"/>
        <v>0</v>
      </c>
      <c r="P25" s="251">
        <f t="shared" si="5"/>
        <v>0</v>
      </c>
      <c r="Q25" s="230">
        <f t="shared" si="17"/>
        <v>0</v>
      </c>
      <c r="R25" s="41">
        <f t="shared" si="12"/>
        <v>0</v>
      </c>
      <c r="S25" s="198"/>
      <c r="T25" s="265"/>
      <c r="U25" s="210">
        <f t="shared" si="9"/>
        <v>0</v>
      </c>
      <c r="V25" s="33">
        <f t="shared" si="6"/>
        <v>0</v>
      </c>
      <c r="W25" s="33">
        <f t="shared" si="13"/>
        <v>0</v>
      </c>
      <c r="X25" s="231">
        <f t="shared" si="14"/>
        <v>0</v>
      </c>
      <c r="Y25" s="41">
        <f t="shared" si="14"/>
        <v>0</v>
      </c>
      <c r="Z25" s="250">
        <f t="shared" si="7"/>
        <v>0</v>
      </c>
      <c r="AA25" s="174">
        <f t="shared" si="8"/>
        <v>0</v>
      </c>
    </row>
    <row r="26" spans="1:27" ht="9.9499999999999993" customHeight="1" x14ac:dyDescent="0.15">
      <c r="A26" s="142" t="s">
        <v>272</v>
      </c>
      <c r="B26" s="212">
        <f>B27+B28+B29+B30</f>
        <v>1.55</v>
      </c>
      <c r="C26" s="140">
        <f t="shared" ref="C26:C89" si="21">D26/1000</f>
        <v>618.70646020610684</v>
      </c>
      <c r="D26" s="41">
        <f>SUM(D27:D28)</f>
        <v>618706.46020610689</v>
      </c>
      <c r="E26" s="247">
        <f>SUM(E27:E30)</f>
        <v>4781.0600000000004</v>
      </c>
      <c r="F26" s="195">
        <f t="shared" si="18"/>
        <v>636.1635</v>
      </c>
      <c r="G26" s="258">
        <f t="shared" si="2"/>
        <v>636163.5</v>
      </c>
      <c r="H26" s="246">
        <f>SUM(H27:H28)</f>
        <v>818218</v>
      </c>
      <c r="I26" s="198">
        <f>SUM(I27:I28)</f>
        <v>30000</v>
      </c>
      <c r="J26" s="231">
        <f>SUM(J27:J30)</f>
        <v>848.21800000000007</v>
      </c>
      <c r="K26" s="41">
        <f>L26/1000</f>
        <v>848.21799999999996</v>
      </c>
      <c r="L26" s="198">
        <f>L27+L28</f>
        <v>848218</v>
      </c>
      <c r="M26" s="195">
        <f t="shared" si="11"/>
        <v>0</v>
      </c>
      <c r="N26" s="33">
        <f>N27+N28+N29+N30</f>
        <v>0</v>
      </c>
      <c r="O26" s="41">
        <f t="shared" si="4"/>
        <v>0</v>
      </c>
      <c r="P26" s="251">
        <f t="shared" si="5"/>
        <v>0</v>
      </c>
      <c r="Q26" s="231">
        <f>SUM(Q27:Q30)</f>
        <v>0</v>
      </c>
      <c r="R26" s="41">
        <f t="shared" si="12"/>
        <v>0</v>
      </c>
      <c r="S26" s="198">
        <f>SUM(S27:S30)</f>
        <v>0</v>
      </c>
      <c r="T26" s="265">
        <f>SUM(T27:T30)</f>
        <v>0</v>
      </c>
      <c r="U26" s="210">
        <f>SUM(U27:U28)</f>
        <v>613925.40020610683</v>
      </c>
      <c r="V26" s="33">
        <f t="shared" si="6"/>
        <v>618.70646020610684</v>
      </c>
      <c r="W26" s="33">
        <f>F26+O26</f>
        <v>636.1635</v>
      </c>
      <c r="X26" s="231">
        <f>J26+Q26</f>
        <v>848.21800000000007</v>
      </c>
      <c r="Y26" s="41">
        <f>K26+R26</f>
        <v>848.21799999999996</v>
      </c>
      <c r="Z26" s="250">
        <f t="shared" si="7"/>
        <v>229.51153979389323</v>
      </c>
      <c r="AA26" s="174">
        <f t="shared" si="8"/>
        <v>0</v>
      </c>
    </row>
    <row r="27" spans="1:27" ht="9.9499999999999993" customHeight="1" x14ac:dyDescent="0.15">
      <c r="A27" s="144" t="s">
        <v>260</v>
      </c>
      <c r="B27" s="215">
        <v>0.5</v>
      </c>
      <c r="C27" s="145">
        <f t="shared" si="21"/>
        <v>198.04045167938932</v>
      </c>
      <c r="D27" s="191">
        <f t="shared" ref="D27:D98" si="22">E27+U27</f>
        <v>198040.45167938931</v>
      </c>
      <c r="E27" s="273"/>
      <c r="F27" s="196">
        <f t="shared" si="18"/>
        <v>201.70574999999999</v>
      </c>
      <c r="G27" s="258">
        <f t="shared" si="2"/>
        <v>201705.75</v>
      </c>
      <c r="H27" s="246">
        <f t="shared" si="3"/>
        <v>263941</v>
      </c>
      <c r="I27" s="200">
        <f>L27-263941</f>
        <v>5000</v>
      </c>
      <c r="J27" s="230">
        <f>K27</f>
        <v>268.94099999999997</v>
      </c>
      <c r="K27" s="43">
        <f t="shared" ref="K27:K100" si="23">L27/1000</f>
        <v>268.94099999999997</v>
      </c>
      <c r="L27" s="200">
        <v>268941</v>
      </c>
      <c r="M27" s="196">
        <f t="shared" si="11"/>
        <v>0</v>
      </c>
      <c r="N27" s="33"/>
      <c r="O27" s="43">
        <f t="shared" si="4"/>
        <v>0</v>
      </c>
      <c r="P27" s="251">
        <f t="shared" si="5"/>
        <v>0</v>
      </c>
      <c r="Q27" s="230">
        <f>R27</f>
        <v>0</v>
      </c>
      <c r="R27" s="43">
        <f t="shared" si="12"/>
        <v>0</v>
      </c>
      <c r="S27" s="200"/>
      <c r="T27" s="266"/>
      <c r="U27" s="227">
        <f t="shared" si="9"/>
        <v>198040.45167938931</v>
      </c>
      <c r="V27" s="36">
        <f t="shared" si="6"/>
        <v>198.04045167938932</v>
      </c>
      <c r="W27" s="36">
        <f>F27+O27</f>
        <v>201.70574999999999</v>
      </c>
      <c r="X27" s="230">
        <f>J27+Q27</f>
        <v>268.94099999999997</v>
      </c>
      <c r="Y27" s="43">
        <f>K27+R27</f>
        <v>268.94099999999997</v>
      </c>
      <c r="Z27" s="250">
        <f t="shared" si="7"/>
        <v>70.900548320610653</v>
      </c>
      <c r="AA27" s="174">
        <f t="shared" si="8"/>
        <v>0</v>
      </c>
    </row>
    <row r="28" spans="1:27" ht="9.9499999999999993" customHeight="1" x14ac:dyDescent="0.15">
      <c r="A28" s="144" t="s">
        <v>261</v>
      </c>
      <c r="B28" s="215">
        <v>1.05</v>
      </c>
      <c r="C28" s="145">
        <f t="shared" si="21"/>
        <v>420.66600852671752</v>
      </c>
      <c r="D28" s="191">
        <f t="shared" si="22"/>
        <v>420666.00852671755</v>
      </c>
      <c r="E28" s="274">
        <v>4781.0600000000004</v>
      </c>
      <c r="F28" s="196">
        <f t="shared" si="18"/>
        <v>434.45774999999998</v>
      </c>
      <c r="G28" s="258">
        <f t="shared" si="2"/>
        <v>434457.75</v>
      </c>
      <c r="H28" s="246">
        <f t="shared" si="3"/>
        <v>554277</v>
      </c>
      <c r="I28" s="200">
        <f>L28-554277</f>
        <v>25000</v>
      </c>
      <c r="J28" s="230">
        <f t="shared" ref="J28:J40" si="24">K28</f>
        <v>579.27700000000004</v>
      </c>
      <c r="K28" s="43">
        <f t="shared" si="23"/>
        <v>579.27700000000004</v>
      </c>
      <c r="L28" s="200">
        <v>579277</v>
      </c>
      <c r="M28" s="196">
        <f t="shared" si="11"/>
        <v>0</v>
      </c>
      <c r="N28" s="33"/>
      <c r="O28" s="43">
        <f t="shared" si="4"/>
        <v>0</v>
      </c>
      <c r="P28" s="251">
        <f t="shared" si="5"/>
        <v>0</v>
      </c>
      <c r="Q28" s="230">
        <f t="shared" ref="Q28:Q40" si="25">R28</f>
        <v>0</v>
      </c>
      <c r="R28" s="43">
        <f t="shared" si="12"/>
        <v>0</v>
      </c>
      <c r="S28" s="200"/>
      <c r="T28" s="266"/>
      <c r="U28" s="227">
        <f t="shared" si="9"/>
        <v>415884.94852671755</v>
      </c>
      <c r="V28" s="36">
        <f t="shared" si="6"/>
        <v>420.66600852671752</v>
      </c>
      <c r="W28" s="36">
        <f t="shared" ref="W28:W72" si="26">F28+O28</f>
        <v>434.45774999999998</v>
      </c>
      <c r="X28" s="230">
        <f t="shared" ref="X28:Y43" si="27">J28+Q28</f>
        <v>579.27700000000004</v>
      </c>
      <c r="Y28" s="43">
        <f t="shared" si="27"/>
        <v>579.27700000000004</v>
      </c>
      <c r="Z28" s="250">
        <f t="shared" si="7"/>
        <v>158.61099147328252</v>
      </c>
      <c r="AA28" s="174">
        <f t="shared" si="8"/>
        <v>0</v>
      </c>
    </row>
    <row r="29" spans="1:27" ht="9.9499999999999993" hidden="1" customHeight="1" x14ac:dyDescent="0.15">
      <c r="A29" s="144">
        <v>0</v>
      </c>
      <c r="B29" s="215">
        <v>0</v>
      </c>
      <c r="C29" s="140">
        <f t="shared" si="21"/>
        <v>0</v>
      </c>
      <c r="D29" s="41">
        <f t="shared" si="22"/>
        <v>0</v>
      </c>
      <c r="E29" s="274"/>
      <c r="F29" s="196">
        <f t="shared" si="18"/>
        <v>0</v>
      </c>
      <c r="G29" s="258">
        <f t="shared" si="2"/>
        <v>0</v>
      </c>
      <c r="H29" s="246">
        <f t="shared" si="3"/>
        <v>0</v>
      </c>
      <c r="I29" s="200">
        <f t="shared" si="19"/>
        <v>0</v>
      </c>
      <c r="J29" s="230">
        <f t="shared" si="24"/>
        <v>0</v>
      </c>
      <c r="K29" s="43">
        <f t="shared" si="23"/>
        <v>0</v>
      </c>
      <c r="L29" s="200"/>
      <c r="M29" s="196">
        <f t="shared" si="11"/>
        <v>0</v>
      </c>
      <c r="N29" s="36"/>
      <c r="O29" s="41">
        <f t="shared" si="4"/>
        <v>0</v>
      </c>
      <c r="P29" s="251">
        <f t="shared" si="5"/>
        <v>0</v>
      </c>
      <c r="Q29" s="230">
        <f t="shared" si="25"/>
        <v>0</v>
      </c>
      <c r="R29" s="41">
        <f t="shared" si="12"/>
        <v>0</v>
      </c>
      <c r="S29" s="200"/>
      <c r="T29" s="266"/>
      <c r="U29" s="210">
        <f t="shared" si="9"/>
        <v>0</v>
      </c>
      <c r="V29" s="33">
        <f t="shared" si="6"/>
        <v>0</v>
      </c>
      <c r="W29" s="36">
        <f t="shared" si="26"/>
        <v>0</v>
      </c>
      <c r="X29" s="230">
        <f t="shared" si="27"/>
        <v>0</v>
      </c>
      <c r="Y29" s="43">
        <f t="shared" si="27"/>
        <v>0</v>
      </c>
      <c r="Z29" s="250">
        <f t="shared" si="7"/>
        <v>0</v>
      </c>
      <c r="AA29" s="174">
        <f t="shared" si="8"/>
        <v>0</v>
      </c>
    </row>
    <row r="30" spans="1:27" ht="9.9499999999999993" hidden="1" customHeight="1" x14ac:dyDescent="0.15">
      <c r="A30" s="144">
        <v>0</v>
      </c>
      <c r="B30" s="215">
        <v>0</v>
      </c>
      <c r="C30" s="140">
        <f t="shared" si="21"/>
        <v>0</v>
      </c>
      <c r="D30" s="41">
        <f t="shared" si="22"/>
        <v>0</v>
      </c>
      <c r="E30" s="274"/>
      <c r="F30" s="196">
        <f t="shared" si="18"/>
        <v>0</v>
      </c>
      <c r="G30" s="258">
        <f t="shared" si="2"/>
        <v>0</v>
      </c>
      <c r="H30" s="246">
        <f t="shared" si="3"/>
        <v>0</v>
      </c>
      <c r="I30" s="200">
        <f t="shared" si="19"/>
        <v>0</v>
      </c>
      <c r="J30" s="230">
        <f t="shared" si="24"/>
        <v>0</v>
      </c>
      <c r="K30" s="43">
        <f t="shared" si="23"/>
        <v>0</v>
      </c>
      <c r="L30" s="200"/>
      <c r="M30" s="196">
        <f t="shared" si="11"/>
        <v>0</v>
      </c>
      <c r="N30" s="36"/>
      <c r="O30" s="41">
        <f t="shared" si="4"/>
        <v>0</v>
      </c>
      <c r="P30" s="251">
        <f t="shared" si="5"/>
        <v>0</v>
      </c>
      <c r="Q30" s="230">
        <f t="shared" si="25"/>
        <v>0</v>
      </c>
      <c r="R30" s="41">
        <f t="shared" si="12"/>
        <v>0</v>
      </c>
      <c r="S30" s="200"/>
      <c r="T30" s="266"/>
      <c r="U30" s="210">
        <f t="shared" si="9"/>
        <v>0</v>
      </c>
      <c r="V30" s="33">
        <f t="shared" si="6"/>
        <v>0</v>
      </c>
      <c r="W30" s="36">
        <f t="shared" si="26"/>
        <v>0</v>
      </c>
      <c r="X30" s="230">
        <f t="shared" si="27"/>
        <v>0</v>
      </c>
      <c r="Y30" s="43">
        <f t="shared" si="27"/>
        <v>0</v>
      </c>
      <c r="Z30" s="250">
        <f t="shared" si="7"/>
        <v>0</v>
      </c>
      <c r="AA30" s="174">
        <f t="shared" si="8"/>
        <v>0</v>
      </c>
    </row>
    <row r="31" spans="1:27" ht="9.9499999999999993" customHeight="1" x14ac:dyDescent="0.15">
      <c r="A31" s="152" t="s">
        <v>262</v>
      </c>
      <c r="B31" s="212">
        <v>0.9</v>
      </c>
      <c r="C31" s="140">
        <f t="shared" si="21"/>
        <v>450.77722302290073</v>
      </c>
      <c r="D31" s="41">
        <f>E31+U31</f>
        <v>450777.22302290075</v>
      </c>
      <c r="E31" s="273">
        <f>6139+88165.41</f>
        <v>94304.41</v>
      </c>
      <c r="F31" s="195">
        <f t="shared" si="18"/>
        <v>386.60250000000002</v>
      </c>
      <c r="G31" s="258">
        <f t="shared" si="2"/>
        <v>386602.5</v>
      </c>
      <c r="H31" s="246">
        <f t="shared" si="3"/>
        <v>475095</v>
      </c>
      <c r="I31" s="198">
        <f>L31-475095</f>
        <v>40375</v>
      </c>
      <c r="J31" s="231">
        <v>600</v>
      </c>
      <c r="K31" s="41">
        <f t="shared" si="23"/>
        <v>515.47</v>
      </c>
      <c r="L31" s="198">
        <v>515470</v>
      </c>
      <c r="M31" s="195">
        <f t="shared" si="11"/>
        <v>0</v>
      </c>
      <c r="N31" s="33"/>
      <c r="O31" s="41">
        <f t="shared" si="4"/>
        <v>0</v>
      </c>
      <c r="P31" s="251">
        <f t="shared" si="5"/>
        <v>0</v>
      </c>
      <c r="Q31" s="231">
        <f t="shared" si="25"/>
        <v>0</v>
      </c>
      <c r="R31" s="41">
        <f t="shared" si="12"/>
        <v>0</v>
      </c>
      <c r="S31" s="198"/>
      <c r="T31" s="265"/>
      <c r="U31" s="210">
        <f t="shared" si="9"/>
        <v>356472.81302290078</v>
      </c>
      <c r="V31" s="33">
        <f t="shared" si="6"/>
        <v>450.77722302290073</v>
      </c>
      <c r="W31" s="33">
        <f t="shared" si="26"/>
        <v>386.60250000000002</v>
      </c>
      <c r="X31" s="231">
        <f t="shared" si="27"/>
        <v>600</v>
      </c>
      <c r="Y31" s="41">
        <f t="shared" si="27"/>
        <v>515.47</v>
      </c>
      <c r="Z31" s="250">
        <f t="shared" si="7"/>
        <v>149.22277697709927</v>
      </c>
      <c r="AA31" s="174">
        <f t="shared" si="8"/>
        <v>0</v>
      </c>
    </row>
    <row r="32" spans="1:27" ht="9.9499999999999993" customHeight="1" x14ac:dyDescent="0.15">
      <c r="A32" s="152" t="s">
        <v>263</v>
      </c>
      <c r="B32" s="212">
        <v>1</v>
      </c>
      <c r="C32" s="140">
        <f t="shared" si="21"/>
        <v>397.45606335877858</v>
      </c>
      <c r="D32" s="41">
        <f t="shared" si="22"/>
        <v>397456.0633587786</v>
      </c>
      <c r="E32" s="273">
        <v>1375.16</v>
      </c>
      <c r="F32" s="195">
        <f t="shared" si="18"/>
        <v>422.44349999999997</v>
      </c>
      <c r="G32" s="258">
        <f t="shared" si="2"/>
        <v>422443.5</v>
      </c>
      <c r="H32" s="246">
        <f t="shared" si="3"/>
        <v>527883</v>
      </c>
      <c r="I32" s="198">
        <f>L32-527883</f>
        <v>35375</v>
      </c>
      <c r="J32" s="231">
        <f t="shared" si="24"/>
        <v>563.25800000000004</v>
      </c>
      <c r="K32" s="41">
        <f t="shared" si="23"/>
        <v>563.25800000000004</v>
      </c>
      <c r="L32" s="198">
        <v>563258</v>
      </c>
      <c r="M32" s="195">
        <f t="shared" si="11"/>
        <v>0</v>
      </c>
      <c r="N32" s="33"/>
      <c r="O32" s="41">
        <f t="shared" si="4"/>
        <v>0</v>
      </c>
      <c r="P32" s="251">
        <f t="shared" si="5"/>
        <v>0</v>
      </c>
      <c r="Q32" s="231">
        <f t="shared" si="25"/>
        <v>0</v>
      </c>
      <c r="R32" s="41">
        <f t="shared" si="12"/>
        <v>0</v>
      </c>
      <c r="S32" s="198"/>
      <c r="T32" s="265"/>
      <c r="U32" s="210">
        <f t="shared" si="9"/>
        <v>396080.90335877863</v>
      </c>
      <c r="V32" s="33">
        <f t="shared" si="6"/>
        <v>397.45606335877858</v>
      </c>
      <c r="W32" s="33">
        <f t="shared" si="26"/>
        <v>422.44349999999997</v>
      </c>
      <c r="X32" s="231">
        <f t="shared" si="27"/>
        <v>563.25800000000004</v>
      </c>
      <c r="Y32" s="41">
        <f t="shared" si="27"/>
        <v>563.25800000000004</v>
      </c>
      <c r="Z32" s="250">
        <f t="shared" si="7"/>
        <v>165.80193664122146</v>
      </c>
      <c r="AA32" s="174">
        <f t="shared" si="8"/>
        <v>0</v>
      </c>
    </row>
    <row r="33" spans="1:38" ht="9.9499999999999993" customHeight="1" x14ac:dyDescent="0.15">
      <c r="A33" s="152" t="s">
        <v>264</v>
      </c>
      <c r="B33" s="212">
        <v>0.4</v>
      </c>
      <c r="C33" s="140">
        <f t="shared" si="21"/>
        <v>162.08536134351147</v>
      </c>
      <c r="D33" s="41">
        <f t="shared" si="22"/>
        <v>162085.36134351147</v>
      </c>
      <c r="E33" s="273">
        <v>3653</v>
      </c>
      <c r="F33" s="195">
        <f t="shared" si="18"/>
        <v>158.36474999999999</v>
      </c>
      <c r="G33" s="258">
        <f t="shared" si="2"/>
        <v>158364.75</v>
      </c>
      <c r="H33" s="246">
        <f t="shared" si="3"/>
        <v>211153</v>
      </c>
      <c r="I33" s="198">
        <f>L33-211153</f>
        <v>0</v>
      </c>
      <c r="J33" s="231">
        <f t="shared" si="24"/>
        <v>211.15299999999999</v>
      </c>
      <c r="K33" s="41">
        <f t="shared" si="23"/>
        <v>211.15299999999999</v>
      </c>
      <c r="L33" s="198">
        <v>211153</v>
      </c>
      <c r="M33" s="195">
        <f t="shared" si="11"/>
        <v>0</v>
      </c>
      <c r="N33" s="33"/>
      <c r="O33" s="41">
        <f t="shared" si="4"/>
        <v>0</v>
      </c>
      <c r="P33" s="251">
        <f t="shared" si="5"/>
        <v>0</v>
      </c>
      <c r="Q33" s="231">
        <f t="shared" si="25"/>
        <v>0</v>
      </c>
      <c r="R33" s="41">
        <f t="shared" si="12"/>
        <v>0</v>
      </c>
      <c r="S33" s="198"/>
      <c r="T33" s="265"/>
      <c r="U33" s="210">
        <f t="shared" si="9"/>
        <v>158432.36134351147</v>
      </c>
      <c r="V33" s="33">
        <f t="shared" si="6"/>
        <v>162.08536134351147</v>
      </c>
      <c r="W33" s="33">
        <f t="shared" si="26"/>
        <v>158.36474999999999</v>
      </c>
      <c r="X33" s="231">
        <f t="shared" si="27"/>
        <v>211.15299999999999</v>
      </c>
      <c r="Y33" s="41">
        <f t="shared" si="27"/>
        <v>211.15299999999999</v>
      </c>
      <c r="Z33" s="250">
        <f t="shared" si="7"/>
        <v>49.067638656488526</v>
      </c>
      <c r="AA33" s="174">
        <f t="shared" si="8"/>
        <v>0</v>
      </c>
    </row>
    <row r="34" spans="1:38" ht="9.9499999999999993" customHeight="1" x14ac:dyDescent="0.15">
      <c r="A34" s="152" t="s">
        <v>265</v>
      </c>
      <c r="B34" s="212">
        <v>0.3</v>
      </c>
      <c r="C34" s="140">
        <f t="shared" si="21"/>
        <v>119.89527100763358</v>
      </c>
      <c r="D34" s="41">
        <f t="shared" si="22"/>
        <v>119895.27100763358</v>
      </c>
      <c r="E34" s="273">
        <v>1071</v>
      </c>
      <c r="F34" s="195">
        <f t="shared" si="18"/>
        <v>141.27375000000001</v>
      </c>
      <c r="G34" s="258">
        <f t="shared" si="2"/>
        <v>141273.75</v>
      </c>
      <c r="H34" s="246">
        <f t="shared" si="3"/>
        <v>158365</v>
      </c>
      <c r="I34" s="198">
        <f>L34-158365</f>
        <v>30000</v>
      </c>
      <c r="J34" s="231">
        <f t="shared" si="24"/>
        <v>188.36500000000001</v>
      </c>
      <c r="K34" s="41">
        <f t="shared" si="23"/>
        <v>188.36500000000001</v>
      </c>
      <c r="L34" s="198">
        <v>188365</v>
      </c>
      <c r="M34" s="195">
        <f t="shared" si="11"/>
        <v>0</v>
      </c>
      <c r="N34" s="33"/>
      <c r="O34" s="41">
        <f t="shared" si="4"/>
        <v>0</v>
      </c>
      <c r="P34" s="251">
        <f t="shared" si="5"/>
        <v>0</v>
      </c>
      <c r="Q34" s="231">
        <f t="shared" si="25"/>
        <v>0</v>
      </c>
      <c r="R34" s="41">
        <f t="shared" si="12"/>
        <v>0</v>
      </c>
      <c r="S34" s="198"/>
      <c r="T34" s="265"/>
      <c r="U34" s="210">
        <f t="shared" si="9"/>
        <v>118824.27100763358</v>
      </c>
      <c r="V34" s="33">
        <f t="shared" si="6"/>
        <v>119.89527100763358</v>
      </c>
      <c r="W34" s="33">
        <f t="shared" si="26"/>
        <v>141.27375000000001</v>
      </c>
      <c r="X34" s="231">
        <f t="shared" si="27"/>
        <v>188.36500000000001</v>
      </c>
      <c r="Y34" s="41">
        <f t="shared" si="27"/>
        <v>188.36500000000001</v>
      </c>
      <c r="Z34" s="250">
        <f t="shared" si="7"/>
        <v>68.469728992366427</v>
      </c>
      <c r="AA34" s="174">
        <f t="shared" si="8"/>
        <v>0</v>
      </c>
    </row>
    <row r="35" spans="1:38" ht="9.9499999999999993" customHeight="1" x14ac:dyDescent="0.15">
      <c r="A35" s="152" t="s">
        <v>266</v>
      </c>
      <c r="B35" s="212">
        <v>0.1</v>
      </c>
      <c r="C35" s="140">
        <f t="shared" si="21"/>
        <v>89.941630335877875</v>
      </c>
      <c r="D35" s="41">
        <f t="shared" si="22"/>
        <v>89941.630335877868</v>
      </c>
      <c r="E35" s="273">
        <f>33796.04+16537.5</f>
        <v>50333.54</v>
      </c>
      <c r="F35" s="195">
        <f t="shared" si="18"/>
        <v>39.591000000000001</v>
      </c>
      <c r="G35" s="258">
        <f t="shared" si="2"/>
        <v>39591</v>
      </c>
      <c r="H35" s="246">
        <f t="shared" si="3"/>
        <v>52788</v>
      </c>
      <c r="I35" s="200">
        <f>L35-52788</f>
        <v>0</v>
      </c>
      <c r="J35" s="231">
        <v>103</v>
      </c>
      <c r="K35" s="41">
        <f t="shared" si="23"/>
        <v>52.787999999999997</v>
      </c>
      <c r="L35" s="198">
        <v>52788</v>
      </c>
      <c r="M35" s="195">
        <f t="shared" si="11"/>
        <v>0</v>
      </c>
      <c r="N35" s="33"/>
      <c r="O35" s="41">
        <f t="shared" si="4"/>
        <v>0</v>
      </c>
      <c r="P35" s="251">
        <f t="shared" si="5"/>
        <v>0</v>
      </c>
      <c r="Q35" s="231">
        <v>-37</v>
      </c>
      <c r="R35" s="41">
        <f t="shared" si="12"/>
        <v>0</v>
      </c>
      <c r="S35" s="198"/>
      <c r="T35" s="265"/>
      <c r="U35" s="210">
        <f t="shared" si="9"/>
        <v>39608.090335877867</v>
      </c>
      <c r="V35" s="33">
        <f t="shared" si="6"/>
        <v>89.941630335877875</v>
      </c>
      <c r="W35" s="33">
        <f t="shared" si="26"/>
        <v>39.591000000000001</v>
      </c>
      <c r="X35" s="231">
        <f t="shared" si="27"/>
        <v>66</v>
      </c>
      <c r="Y35" s="41">
        <f t="shared" si="27"/>
        <v>52.787999999999997</v>
      </c>
      <c r="Z35" s="250">
        <f t="shared" si="7"/>
        <v>13.058369664122125</v>
      </c>
      <c r="AA35" s="174">
        <f t="shared" si="8"/>
        <v>37</v>
      </c>
    </row>
    <row r="36" spans="1:38" ht="9.9499999999999993" customHeight="1" x14ac:dyDescent="0.15">
      <c r="A36" s="152" t="s">
        <v>267</v>
      </c>
      <c r="B36" s="212">
        <v>0.5</v>
      </c>
      <c r="C36" s="140">
        <f t="shared" si="21"/>
        <v>198.14795167938931</v>
      </c>
      <c r="D36" s="41">
        <f t="shared" si="22"/>
        <v>198147.95167938931</v>
      </c>
      <c r="E36" s="273">
        <v>107.5</v>
      </c>
      <c r="F36" s="195">
        <f t="shared" si="18"/>
        <v>205.45574999999999</v>
      </c>
      <c r="G36" s="258">
        <f t="shared" si="2"/>
        <v>205455.75</v>
      </c>
      <c r="H36" s="246">
        <f t="shared" si="3"/>
        <v>263941</v>
      </c>
      <c r="I36" s="198">
        <f>L36-263941</f>
        <v>10000</v>
      </c>
      <c r="J36" s="231">
        <f t="shared" si="24"/>
        <v>273.94099999999997</v>
      </c>
      <c r="K36" s="41">
        <f t="shared" si="23"/>
        <v>273.94099999999997</v>
      </c>
      <c r="L36" s="198">
        <v>273941</v>
      </c>
      <c r="M36" s="195">
        <f t="shared" si="11"/>
        <v>0</v>
      </c>
      <c r="N36" s="33"/>
      <c r="O36" s="41">
        <f t="shared" si="4"/>
        <v>0</v>
      </c>
      <c r="P36" s="251">
        <f t="shared" si="5"/>
        <v>0</v>
      </c>
      <c r="Q36" s="231">
        <f t="shared" si="25"/>
        <v>0</v>
      </c>
      <c r="R36" s="41">
        <f t="shared" si="12"/>
        <v>0</v>
      </c>
      <c r="S36" s="198"/>
      <c r="T36" s="265"/>
      <c r="U36" s="210">
        <f t="shared" si="9"/>
        <v>198040.45167938931</v>
      </c>
      <c r="V36" s="33">
        <f t="shared" si="6"/>
        <v>198.14795167938931</v>
      </c>
      <c r="W36" s="33">
        <f t="shared" si="26"/>
        <v>205.45574999999999</v>
      </c>
      <c r="X36" s="231">
        <f t="shared" si="27"/>
        <v>273.94099999999997</v>
      </c>
      <c r="Y36" s="41">
        <f t="shared" si="27"/>
        <v>273.94099999999997</v>
      </c>
      <c r="Z36" s="250">
        <f t="shared" si="7"/>
        <v>75.793048320610666</v>
      </c>
      <c r="AA36" s="174">
        <f t="shared" si="8"/>
        <v>0</v>
      </c>
    </row>
    <row r="37" spans="1:38" s="42" customFormat="1" ht="9.9499999999999993" customHeight="1" x14ac:dyDescent="0.15">
      <c r="A37" s="152" t="s">
        <v>268</v>
      </c>
      <c r="B37" s="212">
        <v>1.41</v>
      </c>
      <c r="C37" s="140">
        <f t="shared" si="21"/>
        <v>715.79759373587785</v>
      </c>
      <c r="D37" s="41">
        <f t="shared" si="22"/>
        <v>715797.59373587789</v>
      </c>
      <c r="E37" s="273">
        <v>157323.51999999999</v>
      </c>
      <c r="F37" s="195">
        <f t="shared" si="18"/>
        <v>1391.2987499999999</v>
      </c>
      <c r="G37" s="258">
        <f t="shared" si="2"/>
        <v>1391298.75</v>
      </c>
      <c r="H37" s="246">
        <f t="shared" si="3"/>
        <v>744315</v>
      </c>
      <c r="I37" s="198">
        <f>L37-744315</f>
        <v>1110750</v>
      </c>
      <c r="J37" s="231">
        <f>K37-400</f>
        <v>1455.0650000000001</v>
      </c>
      <c r="K37" s="41">
        <f t="shared" si="23"/>
        <v>1855.0650000000001</v>
      </c>
      <c r="L37" s="198">
        <v>1855065</v>
      </c>
      <c r="M37" s="195">
        <f t="shared" si="11"/>
        <v>0</v>
      </c>
      <c r="N37" s="33"/>
      <c r="O37" s="41">
        <f>P37/1000*-1</f>
        <v>-393.75</v>
      </c>
      <c r="P37" s="251">
        <f t="shared" si="5"/>
        <v>393750</v>
      </c>
      <c r="Q37" s="231">
        <f t="shared" si="25"/>
        <v>-525</v>
      </c>
      <c r="R37" s="41">
        <f t="shared" si="12"/>
        <v>-525</v>
      </c>
      <c r="S37" s="198">
        <v>525000</v>
      </c>
      <c r="T37" s="265"/>
      <c r="U37" s="210">
        <f t="shared" si="9"/>
        <v>558474.07373587787</v>
      </c>
      <c r="V37" s="33">
        <f t="shared" si="6"/>
        <v>715.79759373587785</v>
      </c>
      <c r="W37" s="33">
        <f t="shared" si="26"/>
        <v>997.54874999999993</v>
      </c>
      <c r="X37" s="231">
        <f t="shared" si="27"/>
        <v>930.06500000000005</v>
      </c>
      <c r="Y37" s="41">
        <f t="shared" si="27"/>
        <v>1330.0650000000001</v>
      </c>
      <c r="Z37" s="250">
        <f t="shared" si="7"/>
        <v>739.2674062641222</v>
      </c>
      <c r="AA37" s="174">
        <f t="shared" si="8"/>
        <v>525</v>
      </c>
    </row>
    <row r="38" spans="1:38" ht="9" hidden="1" customHeight="1" x14ac:dyDescent="0.15">
      <c r="A38" s="147"/>
      <c r="B38" s="212"/>
      <c r="C38" s="140">
        <f t="shared" si="21"/>
        <v>0</v>
      </c>
      <c r="D38" s="41">
        <f t="shared" si="22"/>
        <v>0</v>
      </c>
      <c r="E38" s="273"/>
      <c r="F38" s="195">
        <f t="shared" si="18"/>
        <v>0</v>
      </c>
      <c r="G38" s="258">
        <f t="shared" si="2"/>
        <v>0</v>
      </c>
      <c r="H38" s="246">
        <f t="shared" si="3"/>
        <v>0</v>
      </c>
      <c r="I38" s="200">
        <f t="shared" si="19"/>
        <v>0</v>
      </c>
      <c r="J38" s="230">
        <f t="shared" si="24"/>
        <v>0</v>
      </c>
      <c r="K38" s="41">
        <f t="shared" si="23"/>
        <v>0</v>
      </c>
      <c r="L38" s="198"/>
      <c r="M38" s="195">
        <f t="shared" si="11"/>
        <v>0</v>
      </c>
      <c r="N38" s="36"/>
      <c r="O38" s="41">
        <f t="shared" si="4"/>
        <v>0</v>
      </c>
      <c r="P38" s="251">
        <f t="shared" si="5"/>
        <v>0</v>
      </c>
      <c r="Q38" s="231">
        <f t="shared" si="25"/>
        <v>0</v>
      </c>
      <c r="R38" s="41">
        <f t="shared" si="12"/>
        <v>0</v>
      </c>
      <c r="S38" s="198"/>
      <c r="T38" s="265"/>
      <c r="U38" s="210">
        <f t="shared" si="9"/>
        <v>0</v>
      </c>
      <c r="V38" s="33">
        <f t="shared" si="6"/>
        <v>0</v>
      </c>
      <c r="W38" s="33">
        <f t="shared" si="26"/>
        <v>0</v>
      </c>
      <c r="X38" s="231">
        <f t="shared" si="27"/>
        <v>0</v>
      </c>
      <c r="Y38" s="41">
        <f t="shared" si="27"/>
        <v>0</v>
      </c>
      <c r="Z38" s="250">
        <f t="shared" si="7"/>
        <v>0</v>
      </c>
      <c r="AA38" s="174">
        <f t="shared" si="8"/>
        <v>0</v>
      </c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</row>
    <row r="39" spans="1:38" ht="9.75" customHeight="1" x14ac:dyDescent="0.15">
      <c r="A39" s="147" t="s">
        <v>269</v>
      </c>
      <c r="B39" s="212">
        <v>0.5</v>
      </c>
      <c r="C39" s="140">
        <f t="shared" si="21"/>
        <v>203.0108516793893</v>
      </c>
      <c r="D39" s="41">
        <f t="shared" si="22"/>
        <v>203010.85167938931</v>
      </c>
      <c r="E39" s="273">
        <v>4970.3999999999996</v>
      </c>
      <c r="F39" s="195">
        <f t="shared" si="18"/>
        <v>205.45574999999999</v>
      </c>
      <c r="G39" s="258">
        <f t="shared" si="2"/>
        <v>205455.75</v>
      </c>
      <c r="H39" s="246">
        <f t="shared" si="3"/>
        <v>263941</v>
      </c>
      <c r="I39" s="198">
        <f>L39-263941</f>
        <v>10000</v>
      </c>
      <c r="J39" s="231">
        <f t="shared" si="24"/>
        <v>273.94099999999997</v>
      </c>
      <c r="K39" s="41">
        <f t="shared" si="23"/>
        <v>273.94099999999997</v>
      </c>
      <c r="L39" s="198">
        <v>273941</v>
      </c>
      <c r="M39" s="195">
        <f t="shared" si="11"/>
        <v>0</v>
      </c>
      <c r="N39" s="36"/>
      <c r="O39" s="41">
        <f t="shared" si="4"/>
        <v>0</v>
      </c>
      <c r="P39" s="251">
        <f t="shared" si="5"/>
        <v>0</v>
      </c>
      <c r="Q39" s="231">
        <f t="shared" si="25"/>
        <v>0</v>
      </c>
      <c r="R39" s="41">
        <f t="shared" si="12"/>
        <v>0</v>
      </c>
      <c r="S39" s="198"/>
      <c r="T39" s="265"/>
      <c r="U39" s="210">
        <f t="shared" si="9"/>
        <v>198040.45167938931</v>
      </c>
      <c r="V39" s="33">
        <f t="shared" si="6"/>
        <v>203.0108516793893</v>
      </c>
      <c r="W39" s="33">
        <f t="shared" si="26"/>
        <v>205.45574999999999</v>
      </c>
      <c r="X39" s="231">
        <f t="shared" si="27"/>
        <v>273.94099999999997</v>
      </c>
      <c r="Y39" s="41">
        <f t="shared" si="27"/>
        <v>273.94099999999997</v>
      </c>
      <c r="Z39" s="250">
        <f t="shared" si="7"/>
        <v>70.93014832061067</v>
      </c>
      <c r="AA39" s="174">
        <f t="shared" si="8"/>
        <v>0</v>
      </c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</row>
    <row r="40" spans="1:38" ht="9" customHeight="1" x14ac:dyDescent="0.15">
      <c r="A40" s="147" t="s">
        <v>270</v>
      </c>
      <c r="B40" s="212">
        <v>0.5</v>
      </c>
      <c r="C40" s="249">
        <f t="shared" si="21"/>
        <v>228.33791167938929</v>
      </c>
      <c r="D40" s="41">
        <f t="shared" si="22"/>
        <v>228337.9116793893</v>
      </c>
      <c r="E40" s="273">
        <v>30297.46</v>
      </c>
      <c r="F40" s="195">
        <f t="shared" si="18"/>
        <v>216.70574999999999</v>
      </c>
      <c r="G40" s="258">
        <f t="shared" si="2"/>
        <v>216705.75</v>
      </c>
      <c r="H40" s="246">
        <f t="shared" si="3"/>
        <v>263941</v>
      </c>
      <c r="I40" s="198">
        <f>L40-263941</f>
        <v>25000</v>
      </c>
      <c r="J40" s="231">
        <f t="shared" si="24"/>
        <v>288.94099999999997</v>
      </c>
      <c r="K40" s="41">
        <f t="shared" si="23"/>
        <v>288.94099999999997</v>
      </c>
      <c r="L40" s="198">
        <v>288941</v>
      </c>
      <c r="M40" s="195">
        <f t="shared" si="11"/>
        <v>0</v>
      </c>
      <c r="N40" s="36"/>
      <c r="O40" s="41">
        <f>P40/1000*-1</f>
        <v>0</v>
      </c>
      <c r="P40" s="251">
        <f t="shared" si="5"/>
        <v>0</v>
      </c>
      <c r="Q40" s="231">
        <f t="shared" si="25"/>
        <v>0</v>
      </c>
      <c r="R40" s="41">
        <f t="shared" si="12"/>
        <v>0</v>
      </c>
      <c r="S40" s="198"/>
      <c r="T40" s="265"/>
      <c r="U40" s="210">
        <f t="shared" si="9"/>
        <v>198040.45167938931</v>
      </c>
      <c r="V40" s="33">
        <f t="shared" si="6"/>
        <v>228.33791167938929</v>
      </c>
      <c r="W40" s="33">
        <f t="shared" si="26"/>
        <v>216.70574999999999</v>
      </c>
      <c r="X40" s="231">
        <f t="shared" si="27"/>
        <v>288.94099999999997</v>
      </c>
      <c r="Y40" s="41">
        <f t="shared" si="27"/>
        <v>288.94099999999997</v>
      </c>
      <c r="Z40" s="250">
        <f t="shared" si="7"/>
        <v>60.603088320610681</v>
      </c>
      <c r="AA40" s="174">
        <f t="shared" si="8"/>
        <v>0</v>
      </c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</row>
    <row r="41" spans="1:38" s="179" customFormat="1" x14ac:dyDescent="0.15">
      <c r="A41" s="168" t="s">
        <v>48</v>
      </c>
      <c r="B41" s="216">
        <f>B42+B53+B59+B65+B73+B77+B98+B82</f>
        <v>18.46</v>
      </c>
      <c r="C41" s="170">
        <f t="shared" si="21"/>
        <v>10772.778856003053</v>
      </c>
      <c r="D41" s="41">
        <f t="shared" si="22"/>
        <v>10772778.856003053</v>
      </c>
      <c r="E41" s="195">
        <f>E42+E53+E59+E65+E73+E77+E98+E82</f>
        <v>3461125.3800000004</v>
      </c>
      <c r="F41" s="191">
        <f t="shared" si="18"/>
        <v>10423.288500000001</v>
      </c>
      <c r="G41" s="258">
        <f t="shared" si="2"/>
        <v>10423288.5</v>
      </c>
      <c r="H41" s="256">
        <f t="shared" si="3"/>
        <v>9744718</v>
      </c>
      <c r="I41" s="198">
        <f>I42+I53+I59+I65+I73+I77+I82+I98</f>
        <v>4153000</v>
      </c>
      <c r="J41" s="191">
        <f>J42+J53+J59+J65+J73+J77+J82+J98</f>
        <v>14457.068000000001</v>
      </c>
      <c r="K41" s="191">
        <f t="shared" si="23"/>
        <v>13897.718000000001</v>
      </c>
      <c r="L41" s="191">
        <f>L42+L53+L59+L65+L73+L77+L98+L82</f>
        <v>13897718</v>
      </c>
      <c r="M41" s="191">
        <f t="shared" si="11"/>
        <v>-2670.0378999999998</v>
      </c>
      <c r="N41" s="171">
        <f>N42+N50+N53+N59+N65+N73+N77+N98+N82</f>
        <v>0</v>
      </c>
      <c r="O41" s="171">
        <f t="shared" ref="O41:O110" si="28">P41/1000*-1</f>
        <v>-2406.75</v>
      </c>
      <c r="P41" s="251">
        <f t="shared" si="5"/>
        <v>2406750</v>
      </c>
      <c r="Q41" s="191">
        <f>Q42+Q53+Q59+Q65+Q77+Q82+Q98</f>
        <v>-4164</v>
      </c>
      <c r="R41" s="171">
        <f t="shared" si="12"/>
        <v>-3209</v>
      </c>
      <c r="S41" s="191">
        <f>S42+S53+S59+S65+S73+S77+S98+S82</f>
        <v>3209000</v>
      </c>
      <c r="T41" s="201">
        <f>T42+T53+T59+T65+T73+T77+T82+T98</f>
        <v>2670037.9</v>
      </c>
      <c r="U41" s="210">
        <f t="shared" si="9"/>
        <v>7311653.4760030536</v>
      </c>
      <c r="V41" s="173">
        <f t="shared" si="6"/>
        <v>8102.7409560030537</v>
      </c>
      <c r="W41" s="173">
        <f t="shared" si="26"/>
        <v>8016.5385000000006</v>
      </c>
      <c r="X41" s="198">
        <f t="shared" si="27"/>
        <v>10293.068000000001</v>
      </c>
      <c r="Y41" s="171">
        <f t="shared" si="27"/>
        <v>10688.718000000001</v>
      </c>
      <c r="Z41" s="250">
        <f t="shared" si="7"/>
        <v>3684.289143996948</v>
      </c>
      <c r="AA41" s="174">
        <f t="shared" si="8"/>
        <v>1493.9621000000002</v>
      </c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s="117" customFormat="1" ht="9.9499999999999993" customHeight="1" x14ac:dyDescent="0.15">
      <c r="A42" s="142" t="s">
        <v>273</v>
      </c>
      <c r="B42" s="212">
        <f>SUM(B43:B50)</f>
        <v>3.1</v>
      </c>
      <c r="C42" s="140">
        <f>D42/1000</f>
        <v>1849.2746204122138</v>
      </c>
      <c r="D42" s="41">
        <f>E42+U42</f>
        <v>1849274.6204122137</v>
      </c>
      <c r="E42" s="247">
        <f>SUM(E43:E50)</f>
        <v>621423.82000000007</v>
      </c>
      <c r="F42" s="195">
        <f t="shared" si="18"/>
        <v>1486.0777499999999</v>
      </c>
      <c r="G42" s="258">
        <f t="shared" si="2"/>
        <v>1486077.75</v>
      </c>
      <c r="H42" s="246">
        <f t="shared" si="3"/>
        <v>1636437</v>
      </c>
      <c r="I42" s="198">
        <f>SUM(I43:I50)</f>
        <v>345000</v>
      </c>
      <c r="J42" s="231">
        <f>SUM(J43:J50)</f>
        <v>2364.7070000000003</v>
      </c>
      <c r="K42" s="41">
        <f t="shared" si="23"/>
        <v>1981.4369999999999</v>
      </c>
      <c r="L42" s="198">
        <f>SUM(L43:L50)</f>
        <v>1981437</v>
      </c>
      <c r="M42" s="195">
        <f t="shared" si="11"/>
        <v>-477.93400000000003</v>
      </c>
      <c r="N42" s="33"/>
      <c r="O42" s="41">
        <f t="shared" si="28"/>
        <v>0</v>
      </c>
      <c r="P42" s="251">
        <f t="shared" si="5"/>
        <v>0</v>
      </c>
      <c r="Q42" s="231">
        <f>SUM(Q43:Q50)</f>
        <v>-478</v>
      </c>
      <c r="R42" s="41">
        <f t="shared" si="12"/>
        <v>0</v>
      </c>
      <c r="S42" s="198">
        <f>SUM(S43:S52)</f>
        <v>0</v>
      </c>
      <c r="T42" s="265">
        <f>SUM(T43:T50)</f>
        <v>477934</v>
      </c>
      <c r="U42" s="210">
        <f>SUM(U43:U50)</f>
        <v>1227850.8004122137</v>
      </c>
      <c r="V42" s="33">
        <f t="shared" si="6"/>
        <v>1371.3406204122139</v>
      </c>
      <c r="W42" s="33">
        <f t="shared" si="26"/>
        <v>1486.0777499999999</v>
      </c>
      <c r="X42" s="231">
        <f t="shared" si="27"/>
        <v>1886.7070000000003</v>
      </c>
      <c r="Y42" s="41">
        <f t="shared" si="27"/>
        <v>1981.4369999999999</v>
      </c>
      <c r="Z42" s="250">
        <f t="shared" si="7"/>
        <v>515.4323795877865</v>
      </c>
      <c r="AA42" s="174">
        <f t="shared" si="8"/>
        <v>6.5999999999974079E-2</v>
      </c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</row>
    <row r="43" spans="1:38" s="117" customFormat="1" ht="9.9499999999999993" customHeight="1" x14ac:dyDescent="0.15">
      <c r="A43" s="144" t="s">
        <v>271</v>
      </c>
      <c r="B43" s="215">
        <v>1.75</v>
      </c>
      <c r="C43" s="145">
        <f t="shared" ref="C43:C56" si="29">D43/1000</f>
        <v>708.95298087786261</v>
      </c>
      <c r="D43" s="191">
        <f>E43+U43</f>
        <v>708952.98087786266</v>
      </c>
      <c r="E43" s="274">
        <v>15811.4</v>
      </c>
      <c r="F43" s="196">
        <f t="shared" si="18"/>
        <v>719.09625000000005</v>
      </c>
      <c r="G43" s="258">
        <f t="shared" si="2"/>
        <v>719096.25</v>
      </c>
      <c r="H43" s="246">
        <f t="shared" si="3"/>
        <v>923795</v>
      </c>
      <c r="I43" s="200">
        <f>L43-923795</f>
        <v>35000</v>
      </c>
      <c r="J43" s="230">
        <f>K43</f>
        <v>958.79499999999996</v>
      </c>
      <c r="K43" s="43">
        <f t="shared" si="23"/>
        <v>958.79499999999996</v>
      </c>
      <c r="L43" s="200">
        <v>958795</v>
      </c>
      <c r="M43" s="196">
        <f t="shared" si="11"/>
        <v>0</v>
      </c>
      <c r="N43" s="36"/>
      <c r="O43" s="43">
        <f t="shared" si="28"/>
        <v>0</v>
      </c>
      <c r="P43" s="251">
        <f t="shared" si="5"/>
        <v>0</v>
      </c>
      <c r="Q43" s="230">
        <f>R43</f>
        <v>0</v>
      </c>
      <c r="R43" s="43">
        <f t="shared" si="12"/>
        <v>0</v>
      </c>
      <c r="S43" s="200"/>
      <c r="T43" s="266"/>
      <c r="U43" s="227">
        <f t="shared" si="9"/>
        <v>693141.58087786264</v>
      </c>
      <c r="V43" s="36">
        <f t="shared" si="6"/>
        <v>708.95298087786261</v>
      </c>
      <c r="W43" s="36">
        <f t="shared" si="26"/>
        <v>719.09625000000005</v>
      </c>
      <c r="X43" s="230">
        <f t="shared" si="27"/>
        <v>958.79499999999996</v>
      </c>
      <c r="Y43" s="43">
        <f t="shared" si="27"/>
        <v>958.79499999999996</v>
      </c>
      <c r="Z43" s="250">
        <f t="shared" si="7"/>
        <v>249.84201912213734</v>
      </c>
      <c r="AA43" s="174">
        <f t="shared" si="8"/>
        <v>0</v>
      </c>
    </row>
    <row r="44" spans="1:38" s="117" customFormat="1" ht="9.9499999999999993" customHeight="1" x14ac:dyDescent="0.15">
      <c r="A44" s="144" t="s">
        <v>341</v>
      </c>
      <c r="B44" s="215">
        <v>0.25</v>
      </c>
      <c r="C44" s="145">
        <f t="shared" si="29"/>
        <v>413.31395583969464</v>
      </c>
      <c r="D44" s="191">
        <f t="shared" si="22"/>
        <v>413313.95583969465</v>
      </c>
      <c r="E44" s="274">
        <f>252021.79+62271.94</f>
        <v>314293.73</v>
      </c>
      <c r="F44" s="196">
        <f t="shared" si="18"/>
        <v>151.47825</v>
      </c>
      <c r="G44" s="258">
        <f t="shared" si="2"/>
        <v>151478.25</v>
      </c>
      <c r="H44" s="246">
        <f t="shared" si="3"/>
        <v>131971</v>
      </c>
      <c r="I44" s="200">
        <f>L44-131971</f>
        <v>70000</v>
      </c>
      <c r="J44" s="230">
        <f>K44+279</f>
        <v>480.971</v>
      </c>
      <c r="K44" s="43">
        <f t="shared" si="23"/>
        <v>201.971</v>
      </c>
      <c r="L44" s="200">
        <v>201971</v>
      </c>
      <c r="M44" s="196">
        <f t="shared" si="11"/>
        <v>-279.22500000000002</v>
      </c>
      <c r="N44" s="36"/>
      <c r="O44" s="43">
        <f t="shared" si="28"/>
        <v>0</v>
      </c>
      <c r="P44" s="251">
        <f t="shared" si="5"/>
        <v>0</v>
      </c>
      <c r="Q44" s="230">
        <v>-279</v>
      </c>
      <c r="R44" s="43">
        <f t="shared" si="12"/>
        <v>0</v>
      </c>
      <c r="S44" s="200"/>
      <c r="T44" s="266">
        <f>164225+115000</f>
        <v>279225</v>
      </c>
      <c r="U44" s="227">
        <f t="shared" si="9"/>
        <v>99020.225839694656</v>
      </c>
      <c r="V44" s="36">
        <f t="shared" si="6"/>
        <v>134.08895583969462</v>
      </c>
      <c r="W44" s="36">
        <f t="shared" si="26"/>
        <v>151.47825</v>
      </c>
      <c r="X44" s="230">
        <f t="shared" ref="X44:Y83" si="30">J44+Q44</f>
        <v>201.971</v>
      </c>
      <c r="Y44" s="43">
        <f t="shared" si="30"/>
        <v>201.971</v>
      </c>
      <c r="Z44" s="250">
        <f t="shared" si="7"/>
        <v>67.657044160305361</v>
      </c>
      <c r="AA44" s="174">
        <f t="shared" si="8"/>
        <v>-0.22500000000002274</v>
      </c>
    </row>
    <row r="45" spans="1:38" s="117" customFormat="1" ht="9.9499999999999993" hidden="1" customHeight="1" x14ac:dyDescent="0.15">
      <c r="A45" s="144">
        <v>0</v>
      </c>
      <c r="B45" s="215">
        <v>0</v>
      </c>
      <c r="C45" s="145">
        <f t="shared" si="29"/>
        <v>0</v>
      </c>
      <c r="D45" s="191">
        <f t="shared" si="22"/>
        <v>0</v>
      </c>
      <c r="E45" s="274"/>
      <c r="F45" s="196">
        <f t="shared" si="18"/>
        <v>0</v>
      </c>
      <c r="G45" s="258">
        <f t="shared" si="2"/>
        <v>0</v>
      </c>
      <c r="H45" s="246">
        <f t="shared" si="3"/>
        <v>0</v>
      </c>
      <c r="I45" s="200">
        <f t="shared" si="19"/>
        <v>0</v>
      </c>
      <c r="J45" s="230">
        <f t="shared" ref="J45:J52" si="31">K45</f>
        <v>0</v>
      </c>
      <c r="K45" s="43">
        <f t="shared" si="23"/>
        <v>0</v>
      </c>
      <c r="L45" s="200"/>
      <c r="M45" s="196">
        <f t="shared" si="11"/>
        <v>0</v>
      </c>
      <c r="N45" s="36"/>
      <c r="O45" s="43">
        <f t="shared" si="28"/>
        <v>0</v>
      </c>
      <c r="P45" s="251">
        <f t="shared" si="5"/>
        <v>0</v>
      </c>
      <c r="Q45" s="230">
        <f t="shared" ref="Q45:Q49" si="32">R45</f>
        <v>0</v>
      </c>
      <c r="R45" s="43">
        <f t="shared" si="12"/>
        <v>0</v>
      </c>
      <c r="S45" s="200"/>
      <c r="T45" s="266"/>
      <c r="U45" s="227">
        <f t="shared" si="9"/>
        <v>0</v>
      </c>
      <c r="V45" s="36">
        <f t="shared" si="6"/>
        <v>0</v>
      </c>
      <c r="W45" s="36">
        <f t="shared" si="26"/>
        <v>0</v>
      </c>
      <c r="X45" s="230">
        <f t="shared" si="30"/>
        <v>0</v>
      </c>
      <c r="Y45" s="43">
        <f t="shared" si="30"/>
        <v>0</v>
      </c>
      <c r="Z45" s="250">
        <f t="shared" si="7"/>
        <v>0</v>
      </c>
      <c r="AA45" s="174">
        <f t="shared" si="8"/>
        <v>0</v>
      </c>
    </row>
    <row r="46" spans="1:38" s="117" customFormat="1" ht="9.9499999999999993" customHeight="1" x14ac:dyDescent="0.15">
      <c r="A46" s="144" t="s">
        <v>343</v>
      </c>
      <c r="B46" s="215">
        <v>0.5</v>
      </c>
      <c r="C46" s="145">
        <f t="shared" si="29"/>
        <v>260.35703167938931</v>
      </c>
      <c r="D46" s="191">
        <f t="shared" si="22"/>
        <v>260357.0316793893</v>
      </c>
      <c r="E46" s="274">
        <v>62316.58</v>
      </c>
      <c r="F46" s="196">
        <f t="shared" si="18"/>
        <v>242.95574999999999</v>
      </c>
      <c r="G46" s="258">
        <f t="shared" si="2"/>
        <v>242955.75</v>
      </c>
      <c r="H46" s="246">
        <f t="shared" si="3"/>
        <v>263941</v>
      </c>
      <c r="I46" s="200">
        <f>L46-263941</f>
        <v>60000</v>
      </c>
      <c r="J46" s="230">
        <f t="shared" si="31"/>
        <v>323.94099999999997</v>
      </c>
      <c r="K46" s="43">
        <f t="shared" si="23"/>
        <v>323.94099999999997</v>
      </c>
      <c r="L46" s="200">
        <v>323941</v>
      </c>
      <c r="M46" s="196">
        <f t="shared" si="11"/>
        <v>0</v>
      </c>
      <c r="N46" s="36"/>
      <c r="O46" s="43">
        <f t="shared" si="28"/>
        <v>0</v>
      </c>
      <c r="P46" s="251">
        <f t="shared" si="5"/>
        <v>0</v>
      </c>
      <c r="Q46" s="230">
        <f t="shared" si="32"/>
        <v>0</v>
      </c>
      <c r="R46" s="43">
        <f t="shared" si="12"/>
        <v>0</v>
      </c>
      <c r="S46" s="200"/>
      <c r="T46" s="266"/>
      <c r="U46" s="227">
        <f t="shared" si="9"/>
        <v>198040.45167938931</v>
      </c>
      <c r="V46" s="36">
        <f t="shared" si="6"/>
        <v>260.35703167938931</v>
      </c>
      <c r="W46" s="36">
        <f t="shared" si="26"/>
        <v>242.95574999999999</v>
      </c>
      <c r="X46" s="230">
        <f t="shared" si="30"/>
        <v>323.94099999999997</v>
      </c>
      <c r="Y46" s="43">
        <f t="shared" si="30"/>
        <v>323.94099999999997</v>
      </c>
      <c r="Z46" s="250">
        <f t="shared" si="7"/>
        <v>63.583968320610666</v>
      </c>
      <c r="AA46" s="174">
        <f t="shared" si="8"/>
        <v>0</v>
      </c>
    </row>
    <row r="47" spans="1:38" s="117" customFormat="1" ht="9.9499999999999993" customHeight="1" x14ac:dyDescent="0.15">
      <c r="A47" s="144" t="s">
        <v>348</v>
      </c>
      <c r="B47" s="215">
        <v>0</v>
      </c>
      <c r="C47" s="145">
        <f t="shared" si="29"/>
        <v>1.2347999999999999</v>
      </c>
      <c r="D47" s="191">
        <f t="shared" si="22"/>
        <v>1234.8</v>
      </c>
      <c r="E47" s="274">
        <v>1234.8</v>
      </c>
      <c r="F47" s="196">
        <f t="shared" si="18"/>
        <v>0</v>
      </c>
      <c r="G47" s="258">
        <f t="shared" si="2"/>
        <v>0</v>
      </c>
      <c r="H47" s="246">
        <f t="shared" si="3"/>
        <v>0</v>
      </c>
      <c r="I47" s="200">
        <f t="shared" si="19"/>
        <v>0</v>
      </c>
      <c r="J47" s="230">
        <v>1</v>
      </c>
      <c r="K47" s="43">
        <f t="shared" si="23"/>
        <v>0</v>
      </c>
      <c r="L47" s="200"/>
      <c r="M47" s="196">
        <f t="shared" si="11"/>
        <v>0</v>
      </c>
      <c r="N47" s="36"/>
      <c r="O47" s="43"/>
      <c r="P47" s="251">
        <f t="shared" si="5"/>
        <v>0</v>
      </c>
      <c r="Q47" s="230">
        <f t="shared" si="32"/>
        <v>0</v>
      </c>
      <c r="R47" s="43">
        <f t="shared" si="12"/>
        <v>0</v>
      </c>
      <c r="S47" s="200"/>
      <c r="T47" s="266"/>
      <c r="U47" s="210">
        <f t="shared" si="9"/>
        <v>0</v>
      </c>
      <c r="V47" s="36">
        <f t="shared" si="6"/>
        <v>1.2347999999999999</v>
      </c>
      <c r="W47" s="36">
        <f t="shared" si="26"/>
        <v>0</v>
      </c>
      <c r="X47" s="230">
        <f t="shared" si="30"/>
        <v>1</v>
      </c>
      <c r="Y47" s="43">
        <f t="shared" si="30"/>
        <v>0</v>
      </c>
      <c r="Z47" s="250">
        <f t="shared" si="7"/>
        <v>-0.2347999999999999</v>
      </c>
      <c r="AA47" s="174">
        <f t="shared" si="8"/>
        <v>0</v>
      </c>
    </row>
    <row r="48" spans="1:38" s="117" customFormat="1" ht="8.25" hidden="1" customHeight="1" x14ac:dyDescent="0.15">
      <c r="A48" s="144">
        <v>0</v>
      </c>
      <c r="B48" s="215">
        <v>0</v>
      </c>
      <c r="C48" s="145">
        <f t="shared" si="29"/>
        <v>0</v>
      </c>
      <c r="D48" s="191">
        <f t="shared" si="22"/>
        <v>0</v>
      </c>
      <c r="E48" s="274"/>
      <c r="F48" s="196">
        <f t="shared" si="18"/>
        <v>0</v>
      </c>
      <c r="G48" s="258">
        <f t="shared" si="2"/>
        <v>0</v>
      </c>
      <c r="H48" s="246">
        <f t="shared" si="3"/>
        <v>0</v>
      </c>
      <c r="I48" s="200">
        <f t="shared" si="19"/>
        <v>0</v>
      </c>
      <c r="J48" s="230">
        <f t="shared" si="31"/>
        <v>0</v>
      </c>
      <c r="K48" s="43">
        <f t="shared" si="23"/>
        <v>0</v>
      </c>
      <c r="L48" s="200"/>
      <c r="M48" s="196">
        <f t="shared" si="11"/>
        <v>0</v>
      </c>
      <c r="N48" s="36"/>
      <c r="O48" s="43">
        <f t="shared" si="28"/>
        <v>0</v>
      </c>
      <c r="P48" s="251">
        <f t="shared" si="5"/>
        <v>0</v>
      </c>
      <c r="Q48" s="230">
        <f t="shared" si="32"/>
        <v>0</v>
      </c>
      <c r="R48" s="43">
        <f t="shared" si="12"/>
        <v>0</v>
      </c>
      <c r="S48" s="200"/>
      <c r="T48" s="266"/>
      <c r="U48" s="210">
        <f t="shared" si="9"/>
        <v>0</v>
      </c>
      <c r="V48" s="36">
        <f t="shared" si="6"/>
        <v>0</v>
      </c>
      <c r="W48" s="36">
        <f t="shared" si="26"/>
        <v>0</v>
      </c>
      <c r="X48" s="230">
        <f t="shared" si="30"/>
        <v>0</v>
      </c>
      <c r="Y48" s="43">
        <f t="shared" si="30"/>
        <v>0</v>
      </c>
      <c r="Z48" s="250">
        <f t="shared" si="7"/>
        <v>0</v>
      </c>
      <c r="AA48" s="174">
        <f t="shared" si="8"/>
        <v>0</v>
      </c>
    </row>
    <row r="49" spans="1:27" s="117" customFormat="1" ht="8.25" hidden="1" customHeight="1" x14ac:dyDescent="0.15">
      <c r="A49" s="144">
        <v>0</v>
      </c>
      <c r="B49" s="215">
        <v>0</v>
      </c>
      <c r="C49" s="145">
        <f t="shared" si="29"/>
        <v>0</v>
      </c>
      <c r="D49" s="191">
        <f t="shared" si="22"/>
        <v>0</v>
      </c>
      <c r="E49" s="274"/>
      <c r="F49" s="196"/>
      <c r="G49" s="258">
        <f t="shared" si="2"/>
        <v>0</v>
      </c>
      <c r="H49" s="246">
        <f t="shared" si="3"/>
        <v>0</v>
      </c>
      <c r="I49" s="200">
        <f t="shared" si="19"/>
        <v>0</v>
      </c>
      <c r="J49" s="230">
        <f t="shared" si="31"/>
        <v>0</v>
      </c>
      <c r="K49" s="43"/>
      <c r="L49" s="200"/>
      <c r="M49" s="196"/>
      <c r="N49" s="36"/>
      <c r="O49" s="43"/>
      <c r="P49" s="251">
        <f t="shared" si="5"/>
        <v>0</v>
      </c>
      <c r="Q49" s="230">
        <f t="shared" si="32"/>
        <v>0</v>
      </c>
      <c r="R49" s="43"/>
      <c r="S49" s="200"/>
      <c r="T49" s="266"/>
      <c r="U49" s="210">
        <f t="shared" si="9"/>
        <v>0</v>
      </c>
      <c r="V49" s="36"/>
      <c r="W49" s="36"/>
      <c r="X49" s="230"/>
      <c r="Y49" s="43"/>
      <c r="Z49" s="250">
        <f t="shared" si="7"/>
        <v>0</v>
      </c>
      <c r="AA49" s="174">
        <f t="shared" si="8"/>
        <v>0</v>
      </c>
    </row>
    <row r="50" spans="1:27" s="118" customFormat="1" ht="9.9499999999999993" customHeight="1" x14ac:dyDescent="0.15">
      <c r="A50" s="144" t="s">
        <v>342</v>
      </c>
      <c r="B50" s="215">
        <v>0.6</v>
      </c>
      <c r="C50" s="145">
        <f t="shared" si="29"/>
        <v>465.41585201526715</v>
      </c>
      <c r="D50" s="191">
        <f>E50+U50</f>
        <v>465415.85201526713</v>
      </c>
      <c r="E50" s="274">
        <f>45634.24+67481.45+4096.6+42425+68130.02</f>
        <v>227767.31</v>
      </c>
      <c r="F50" s="196">
        <f t="shared" si="18"/>
        <v>372.54750000000001</v>
      </c>
      <c r="G50" s="258">
        <f t="shared" si="2"/>
        <v>372547.5</v>
      </c>
      <c r="H50" s="246">
        <f t="shared" si="3"/>
        <v>316730</v>
      </c>
      <c r="I50" s="200">
        <f>L50-316730</f>
        <v>180000</v>
      </c>
      <c r="J50" s="230">
        <v>600</v>
      </c>
      <c r="K50" s="43">
        <f t="shared" si="23"/>
        <v>496.73</v>
      </c>
      <c r="L50" s="200">
        <v>496730</v>
      </c>
      <c r="M50" s="196">
        <f t="shared" si="11"/>
        <v>-198.709</v>
      </c>
      <c r="N50" s="33">
        <f>N51+N52</f>
        <v>0</v>
      </c>
      <c r="O50" s="43">
        <f t="shared" si="28"/>
        <v>0</v>
      </c>
      <c r="P50" s="251">
        <f t="shared" si="5"/>
        <v>0</v>
      </c>
      <c r="Q50" s="230">
        <v>-199</v>
      </c>
      <c r="R50" s="43">
        <f t="shared" si="12"/>
        <v>0</v>
      </c>
      <c r="S50" s="200"/>
      <c r="T50" s="266">
        <f>9200+79509+75000+35000</f>
        <v>198709</v>
      </c>
      <c r="U50" s="227">
        <f t="shared" si="9"/>
        <v>237648.54201526716</v>
      </c>
      <c r="V50" s="36">
        <f t="shared" si="6"/>
        <v>266.70685201526715</v>
      </c>
      <c r="W50" s="36">
        <f t="shared" si="26"/>
        <v>372.54750000000001</v>
      </c>
      <c r="X50" s="230">
        <f t="shared" si="30"/>
        <v>401</v>
      </c>
      <c r="Y50" s="43">
        <f t="shared" si="30"/>
        <v>496.73</v>
      </c>
      <c r="Z50" s="250">
        <f t="shared" si="7"/>
        <v>134.58414798473285</v>
      </c>
      <c r="AA50" s="174">
        <f t="shared" si="8"/>
        <v>0.29099999999999682</v>
      </c>
    </row>
    <row r="51" spans="1:27" s="117" customFormat="1" ht="9" hidden="1" customHeight="1" x14ac:dyDescent="0.15">
      <c r="A51" s="144"/>
      <c r="B51" s="215"/>
      <c r="C51" s="140">
        <f t="shared" si="29"/>
        <v>0</v>
      </c>
      <c r="D51" s="41">
        <f t="shared" si="22"/>
        <v>0</v>
      </c>
      <c r="E51" s="274"/>
      <c r="F51" s="195">
        <f t="shared" si="18"/>
        <v>0</v>
      </c>
      <c r="G51" s="258">
        <f t="shared" si="2"/>
        <v>0</v>
      </c>
      <c r="H51" s="246">
        <f t="shared" si="3"/>
        <v>0</v>
      </c>
      <c r="I51" s="200">
        <f t="shared" si="19"/>
        <v>0</v>
      </c>
      <c r="J51" s="230">
        <f t="shared" si="31"/>
        <v>0</v>
      </c>
      <c r="K51" s="41">
        <f t="shared" si="23"/>
        <v>0</v>
      </c>
      <c r="L51" s="200"/>
      <c r="M51" s="195">
        <f t="shared" si="11"/>
        <v>0</v>
      </c>
      <c r="N51" s="36"/>
      <c r="O51" s="43">
        <f t="shared" si="28"/>
        <v>0</v>
      </c>
      <c r="P51" s="251">
        <f t="shared" si="5"/>
        <v>0</v>
      </c>
      <c r="Q51" s="230">
        <v>0</v>
      </c>
      <c r="R51" s="43">
        <f t="shared" si="12"/>
        <v>0</v>
      </c>
      <c r="S51" s="200"/>
      <c r="T51" s="266"/>
      <c r="U51" s="210">
        <f t="shared" si="9"/>
        <v>0</v>
      </c>
      <c r="V51" s="36">
        <f t="shared" si="6"/>
        <v>0</v>
      </c>
      <c r="W51" s="36">
        <f t="shared" si="26"/>
        <v>0</v>
      </c>
      <c r="X51" s="230">
        <f t="shared" si="30"/>
        <v>0</v>
      </c>
      <c r="Y51" s="43">
        <f t="shared" si="30"/>
        <v>0</v>
      </c>
      <c r="Z51" s="250">
        <f t="shared" si="7"/>
        <v>0</v>
      </c>
      <c r="AA51" s="174">
        <f t="shared" si="8"/>
        <v>0</v>
      </c>
    </row>
    <row r="52" spans="1:27" s="117" customFormat="1" ht="9.9499999999999993" hidden="1" customHeight="1" x14ac:dyDescent="0.15">
      <c r="A52" s="144"/>
      <c r="B52" s="215"/>
      <c r="C52" s="140">
        <f t="shared" si="29"/>
        <v>0</v>
      </c>
      <c r="D52" s="41">
        <f t="shared" si="22"/>
        <v>0</v>
      </c>
      <c r="E52" s="274"/>
      <c r="F52" s="195">
        <f t="shared" si="18"/>
        <v>0</v>
      </c>
      <c r="G52" s="258">
        <f t="shared" si="2"/>
        <v>0</v>
      </c>
      <c r="H52" s="246">
        <f t="shared" si="3"/>
        <v>0</v>
      </c>
      <c r="I52" s="200">
        <f t="shared" si="19"/>
        <v>0</v>
      </c>
      <c r="J52" s="230">
        <f t="shared" si="31"/>
        <v>0</v>
      </c>
      <c r="K52" s="41">
        <f t="shared" si="23"/>
        <v>0</v>
      </c>
      <c r="L52" s="200"/>
      <c r="M52" s="195">
        <f t="shared" si="11"/>
        <v>0</v>
      </c>
      <c r="N52" s="36"/>
      <c r="O52" s="43">
        <f t="shared" si="28"/>
        <v>0</v>
      </c>
      <c r="P52" s="251">
        <f t="shared" si="5"/>
        <v>0</v>
      </c>
      <c r="Q52" s="230">
        <v>0</v>
      </c>
      <c r="R52" s="43">
        <f t="shared" si="12"/>
        <v>0</v>
      </c>
      <c r="S52" s="200"/>
      <c r="T52" s="266"/>
      <c r="U52" s="210">
        <f t="shared" si="9"/>
        <v>0</v>
      </c>
      <c r="V52" s="36">
        <f t="shared" si="6"/>
        <v>0</v>
      </c>
      <c r="W52" s="36">
        <f t="shared" si="26"/>
        <v>0</v>
      </c>
      <c r="X52" s="230">
        <f t="shared" si="30"/>
        <v>0</v>
      </c>
      <c r="Y52" s="43">
        <f t="shared" si="30"/>
        <v>0</v>
      </c>
      <c r="Z52" s="250">
        <f t="shared" si="7"/>
        <v>0</v>
      </c>
      <c r="AA52" s="174">
        <f t="shared" si="8"/>
        <v>0</v>
      </c>
    </row>
    <row r="53" spans="1:27" s="118" customFormat="1" ht="9.9499999999999993" customHeight="1" x14ac:dyDescent="0.15">
      <c r="A53" s="142" t="s">
        <v>274</v>
      </c>
      <c r="B53" s="212">
        <f>SUM(B54:B58)</f>
        <v>3.45</v>
      </c>
      <c r="C53" s="140">
        <f t="shared" si="29"/>
        <v>1465.5411865877863</v>
      </c>
      <c r="D53" s="41">
        <f t="shared" si="22"/>
        <v>1465541.1865877863</v>
      </c>
      <c r="E53" s="247">
        <f>SUM(E54:E57)</f>
        <v>99062.07</v>
      </c>
      <c r="F53" s="195">
        <f t="shared" si="18"/>
        <v>1647.14625</v>
      </c>
      <c r="G53" s="258">
        <f t="shared" si="2"/>
        <v>1647146.25</v>
      </c>
      <c r="H53" s="246">
        <f t="shared" si="3"/>
        <v>1821195</v>
      </c>
      <c r="I53" s="198">
        <f>SUM(I54:I57)</f>
        <v>375000</v>
      </c>
      <c r="J53" s="231">
        <f>SUM(J54:J57)</f>
        <v>2113.1950000000002</v>
      </c>
      <c r="K53" s="41">
        <f t="shared" si="23"/>
        <v>2196.1950000000002</v>
      </c>
      <c r="L53" s="198">
        <f>SUM(L54:L58)</f>
        <v>2196195</v>
      </c>
      <c r="M53" s="195">
        <f>T53/1000*-1</f>
        <v>-69.558899999999994</v>
      </c>
      <c r="N53" s="33">
        <f>N56+N54+N57+N58</f>
        <v>0</v>
      </c>
      <c r="O53" s="41">
        <f t="shared" si="28"/>
        <v>-195</v>
      </c>
      <c r="P53" s="251">
        <f t="shared" si="5"/>
        <v>195000</v>
      </c>
      <c r="Q53" s="231">
        <f>SUM(Q54:Q57)</f>
        <v>-70</v>
      </c>
      <c r="R53" s="41">
        <f t="shared" si="12"/>
        <v>-260</v>
      </c>
      <c r="S53" s="198">
        <f>SUM(S54:S58)</f>
        <v>260000</v>
      </c>
      <c r="T53" s="265">
        <f>SUM(T54:T58)</f>
        <v>69558.899999999994</v>
      </c>
      <c r="U53" s="210">
        <f>SUM(U54:U57)</f>
        <v>1366479.1165877862</v>
      </c>
      <c r="V53" s="33">
        <f t="shared" si="6"/>
        <v>1395.9822865877863</v>
      </c>
      <c r="W53" s="33">
        <f>F53+O53</f>
        <v>1452.14625</v>
      </c>
      <c r="X53" s="231">
        <f t="shared" si="30"/>
        <v>2043.1950000000002</v>
      </c>
      <c r="Y53" s="41">
        <f t="shared" si="30"/>
        <v>1936.1950000000002</v>
      </c>
      <c r="Z53" s="250">
        <f t="shared" si="7"/>
        <v>647.65381341221382</v>
      </c>
      <c r="AA53" s="174">
        <f t="shared" si="8"/>
        <v>0.44110000000000582</v>
      </c>
    </row>
    <row r="54" spans="1:27" s="117" customFormat="1" ht="9.9499999999999993" customHeight="1" x14ac:dyDescent="0.15">
      <c r="A54" s="144" t="s">
        <v>275</v>
      </c>
      <c r="B54" s="215">
        <v>1.1499999999999999</v>
      </c>
      <c r="C54" s="290">
        <f t="shared" si="29"/>
        <v>531.80308886259536</v>
      </c>
      <c r="D54" s="191">
        <f t="shared" si="22"/>
        <v>531803.08886259538</v>
      </c>
      <c r="E54" s="274">
        <f>20702.48+55607.57</f>
        <v>76310.05</v>
      </c>
      <c r="F54" s="196">
        <f t="shared" si="18"/>
        <v>556.54875000000004</v>
      </c>
      <c r="G54" s="258">
        <f t="shared" si="2"/>
        <v>556548.75</v>
      </c>
      <c r="H54" s="246">
        <f t="shared" si="3"/>
        <v>607065</v>
      </c>
      <c r="I54" s="200">
        <f>L54-607065</f>
        <v>135000</v>
      </c>
      <c r="J54" s="230">
        <f>K54</f>
        <v>742.06500000000005</v>
      </c>
      <c r="K54" s="43">
        <f t="shared" si="23"/>
        <v>742.06500000000005</v>
      </c>
      <c r="L54" s="200">
        <v>742065</v>
      </c>
      <c r="M54" s="196">
        <f t="shared" ref="M54:M56" si="33">T54/1000*-1</f>
        <v>0</v>
      </c>
      <c r="N54" s="36"/>
      <c r="O54" s="43">
        <f t="shared" si="28"/>
        <v>0</v>
      </c>
      <c r="P54" s="251">
        <f t="shared" si="5"/>
        <v>0</v>
      </c>
      <c r="Q54" s="230">
        <v>0</v>
      </c>
      <c r="R54" s="43">
        <f t="shared" si="12"/>
        <v>0</v>
      </c>
      <c r="S54" s="200"/>
      <c r="T54" s="266"/>
      <c r="U54" s="227">
        <f t="shared" si="9"/>
        <v>455493.03886259539</v>
      </c>
      <c r="V54" s="36">
        <f t="shared" si="6"/>
        <v>531.80308886259536</v>
      </c>
      <c r="W54" s="36">
        <f t="shared" si="26"/>
        <v>556.54875000000004</v>
      </c>
      <c r="X54" s="230">
        <f t="shared" si="30"/>
        <v>742.06500000000005</v>
      </c>
      <c r="Y54" s="43">
        <f t="shared" si="30"/>
        <v>742.06500000000005</v>
      </c>
      <c r="Z54" s="250">
        <f t="shared" si="7"/>
        <v>210.2619111374047</v>
      </c>
      <c r="AA54" s="174">
        <f t="shared" si="8"/>
        <v>0</v>
      </c>
    </row>
    <row r="55" spans="1:27" s="117" customFormat="1" ht="9.9499999999999993" customHeight="1" x14ac:dyDescent="0.15">
      <c r="A55" s="144" t="s">
        <v>276</v>
      </c>
      <c r="B55" s="215">
        <v>0.5</v>
      </c>
      <c r="C55" s="290">
        <f t="shared" si="29"/>
        <v>198.30540167938932</v>
      </c>
      <c r="D55" s="191">
        <f t="shared" si="22"/>
        <v>198305.40167938932</v>
      </c>
      <c r="E55" s="274">
        <v>264.95</v>
      </c>
      <c r="F55" s="196">
        <f t="shared" si="18"/>
        <v>227.95574999999999</v>
      </c>
      <c r="G55" s="258">
        <f t="shared" si="2"/>
        <v>227955.75</v>
      </c>
      <c r="H55" s="246">
        <f t="shared" si="3"/>
        <v>263941</v>
      </c>
      <c r="I55" s="200">
        <f>L55-263941</f>
        <v>40000</v>
      </c>
      <c r="J55" s="230">
        <f>K55-24</f>
        <v>279.94099999999997</v>
      </c>
      <c r="K55" s="43">
        <f t="shared" si="23"/>
        <v>303.94099999999997</v>
      </c>
      <c r="L55" s="200">
        <v>303941</v>
      </c>
      <c r="M55" s="196">
        <f t="shared" si="33"/>
        <v>0</v>
      </c>
      <c r="N55" s="36"/>
      <c r="O55" s="43">
        <f t="shared" si="28"/>
        <v>0</v>
      </c>
      <c r="P55" s="251">
        <f t="shared" si="5"/>
        <v>0</v>
      </c>
      <c r="Q55" s="230">
        <f>R55</f>
        <v>0</v>
      </c>
      <c r="R55" s="43">
        <f t="shared" si="12"/>
        <v>0</v>
      </c>
      <c r="S55" s="200"/>
      <c r="T55" s="266"/>
      <c r="U55" s="227">
        <f t="shared" si="9"/>
        <v>198040.45167938931</v>
      </c>
      <c r="V55" s="36">
        <f t="shared" si="6"/>
        <v>198.30540167938932</v>
      </c>
      <c r="W55" s="36">
        <f t="shared" si="26"/>
        <v>227.95574999999999</v>
      </c>
      <c r="X55" s="230">
        <f t="shared" si="30"/>
        <v>279.94099999999997</v>
      </c>
      <c r="Y55" s="43">
        <f t="shared" si="30"/>
        <v>303.94099999999997</v>
      </c>
      <c r="Z55" s="250">
        <f t="shared" si="7"/>
        <v>81.635598320610654</v>
      </c>
      <c r="AA55" s="174">
        <f t="shared" si="8"/>
        <v>0</v>
      </c>
    </row>
    <row r="56" spans="1:27" s="117" customFormat="1" ht="9.9499999999999993" customHeight="1" x14ac:dyDescent="0.15">
      <c r="A56" s="144" t="s">
        <v>277</v>
      </c>
      <c r="B56" s="215">
        <v>0.5</v>
      </c>
      <c r="C56" s="290">
        <f t="shared" si="29"/>
        <v>213.60022167938931</v>
      </c>
      <c r="D56" s="191">
        <f t="shared" si="22"/>
        <v>213600.2216793893</v>
      </c>
      <c r="E56" s="274">
        <v>15559.77</v>
      </c>
      <c r="F56" s="196">
        <f t="shared" si="18"/>
        <v>272.95575000000002</v>
      </c>
      <c r="G56" s="258">
        <f t="shared" si="2"/>
        <v>272955.75</v>
      </c>
      <c r="H56" s="246">
        <f t="shared" si="3"/>
        <v>263941</v>
      </c>
      <c r="I56" s="200">
        <f>L56-263941</f>
        <v>100000</v>
      </c>
      <c r="J56" s="230">
        <f>K56-23</f>
        <v>340.94099999999997</v>
      </c>
      <c r="K56" s="43">
        <f t="shared" si="23"/>
        <v>363.94099999999997</v>
      </c>
      <c r="L56" s="200">
        <v>363941</v>
      </c>
      <c r="M56" s="196">
        <f t="shared" si="33"/>
        <v>0</v>
      </c>
      <c r="N56" s="36"/>
      <c r="O56" s="43">
        <f t="shared" si="28"/>
        <v>0</v>
      </c>
      <c r="P56" s="251">
        <f t="shared" si="5"/>
        <v>0</v>
      </c>
      <c r="Q56" s="230">
        <f>R56</f>
        <v>0</v>
      </c>
      <c r="R56" s="43">
        <f t="shared" si="12"/>
        <v>0</v>
      </c>
      <c r="S56" s="200"/>
      <c r="T56" s="266"/>
      <c r="U56" s="227">
        <f t="shared" si="9"/>
        <v>198040.45167938931</v>
      </c>
      <c r="V56" s="36">
        <f t="shared" si="6"/>
        <v>213.60022167938931</v>
      </c>
      <c r="W56" s="36">
        <f t="shared" si="26"/>
        <v>272.95575000000002</v>
      </c>
      <c r="X56" s="230">
        <f t="shared" si="30"/>
        <v>340.94099999999997</v>
      </c>
      <c r="Y56" s="43">
        <f t="shared" si="30"/>
        <v>363.94099999999997</v>
      </c>
      <c r="Z56" s="250">
        <f t="shared" si="7"/>
        <v>127.34077832061067</v>
      </c>
      <c r="AA56" s="174">
        <f t="shared" si="8"/>
        <v>0</v>
      </c>
    </row>
    <row r="57" spans="1:27" s="117" customFormat="1" ht="9.9499999999999993" customHeight="1" x14ac:dyDescent="0.15">
      <c r="A57" s="144" t="s">
        <v>278</v>
      </c>
      <c r="B57" s="215">
        <v>1.3</v>
      </c>
      <c r="C57" s="290">
        <f t="shared" si="21"/>
        <v>521.83247436641216</v>
      </c>
      <c r="D57" s="191">
        <f t="shared" si="22"/>
        <v>521832.47436641221</v>
      </c>
      <c r="E57" s="274">
        <f>6927.3</f>
        <v>6927.3</v>
      </c>
      <c r="F57" s="196">
        <f t="shared" si="18"/>
        <v>589.68600000000004</v>
      </c>
      <c r="G57" s="258">
        <f t="shared" si="2"/>
        <v>589686</v>
      </c>
      <c r="H57" s="246">
        <f t="shared" si="3"/>
        <v>686248</v>
      </c>
      <c r="I57" s="200">
        <f>L57-686248</f>
        <v>100000</v>
      </c>
      <c r="J57" s="230">
        <f>K57-36</f>
        <v>750.24800000000005</v>
      </c>
      <c r="K57" s="43">
        <f t="shared" si="23"/>
        <v>786.24800000000005</v>
      </c>
      <c r="L57" s="200">
        <v>786248</v>
      </c>
      <c r="M57" s="196">
        <f t="shared" si="11"/>
        <v>-69.558899999999994</v>
      </c>
      <c r="N57" s="36"/>
      <c r="O57" s="43">
        <f t="shared" si="28"/>
        <v>-195</v>
      </c>
      <c r="P57" s="251">
        <f t="shared" si="5"/>
        <v>195000</v>
      </c>
      <c r="Q57" s="230">
        <f>R57+190</f>
        <v>-70</v>
      </c>
      <c r="R57" s="43">
        <f t="shared" si="12"/>
        <v>-260</v>
      </c>
      <c r="S57" s="200">
        <v>260000</v>
      </c>
      <c r="T57" s="266">
        <v>69558.899999999994</v>
      </c>
      <c r="U57" s="227">
        <f t="shared" si="9"/>
        <v>514905.17436641222</v>
      </c>
      <c r="V57" s="36">
        <f t="shared" si="6"/>
        <v>452.27357436641216</v>
      </c>
      <c r="W57" s="36">
        <f t="shared" si="26"/>
        <v>394.68600000000004</v>
      </c>
      <c r="X57" s="230">
        <f t="shared" si="30"/>
        <v>680.24800000000005</v>
      </c>
      <c r="Y57" s="43">
        <f t="shared" si="30"/>
        <v>526.24800000000005</v>
      </c>
      <c r="Z57" s="250">
        <f t="shared" si="7"/>
        <v>228.41552563358789</v>
      </c>
      <c r="AA57" s="174">
        <f t="shared" si="8"/>
        <v>0.44110000000000582</v>
      </c>
    </row>
    <row r="58" spans="1:27" s="117" customFormat="1" ht="9.9499999999999993" hidden="1" customHeight="1" x14ac:dyDescent="0.15">
      <c r="A58" s="144"/>
      <c r="B58" s="215"/>
      <c r="C58" s="145">
        <f t="shared" si="21"/>
        <v>0</v>
      </c>
      <c r="D58" s="41">
        <f t="shared" si="22"/>
        <v>0</v>
      </c>
      <c r="E58" s="274"/>
      <c r="F58" s="195">
        <f t="shared" si="18"/>
        <v>0</v>
      </c>
      <c r="G58" s="258">
        <f t="shared" si="2"/>
        <v>0</v>
      </c>
      <c r="H58" s="246">
        <f t="shared" si="3"/>
        <v>0</v>
      </c>
      <c r="I58" s="200">
        <f t="shared" si="19"/>
        <v>0</v>
      </c>
      <c r="J58" s="230"/>
      <c r="K58" s="41">
        <f t="shared" si="23"/>
        <v>0</v>
      </c>
      <c r="L58" s="200"/>
      <c r="M58" s="195">
        <f t="shared" si="11"/>
        <v>0</v>
      </c>
      <c r="N58" s="36"/>
      <c r="O58" s="43">
        <f t="shared" si="28"/>
        <v>0</v>
      </c>
      <c r="P58" s="251">
        <f t="shared" si="5"/>
        <v>0</v>
      </c>
      <c r="Q58" s="230">
        <v>0</v>
      </c>
      <c r="R58" s="43">
        <f t="shared" si="12"/>
        <v>0</v>
      </c>
      <c r="S58" s="200"/>
      <c r="T58" s="266"/>
      <c r="U58" s="210">
        <f t="shared" si="9"/>
        <v>0</v>
      </c>
      <c r="V58" s="36">
        <f t="shared" si="6"/>
        <v>0</v>
      </c>
      <c r="W58" s="36">
        <f t="shared" si="26"/>
        <v>0</v>
      </c>
      <c r="X58" s="230">
        <f t="shared" si="30"/>
        <v>0</v>
      </c>
      <c r="Y58" s="43">
        <f t="shared" si="30"/>
        <v>0</v>
      </c>
      <c r="Z58" s="250">
        <f t="shared" si="7"/>
        <v>0</v>
      </c>
      <c r="AA58" s="174">
        <f t="shared" si="8"/>
        <v>0</v>
      </c>
    </row>
    <row r="59" spans="1:27" s="118" customFormat="1" ht="9.9499999999999993" customHeight="1" x14ac:dyDescent="0.15">
      <c r="A59" s="142" t="s">
        <v>279</v>
      </c>
      <c r="B59" s="212">
        <f>SUM(B60:B64)</f>
        <v>2.5</v>
      </c>
      <c r="C59" s="140">
        <f t="shared" si="21"/>
        <v>1109.6193883969465</v>
      </c>
      <c r="D59" s="41">
        <f>E59+U59</f>
        <v>1109619.3883969465</v>
      </c>
      <c r="E59" s="247">
        <f>SUM(E60:E61)</f>
        <v>119417.12999999999</v>
      </c>
      <c r="F59" s="195">
        <f t="shared" si="18"/>
        <v>1169.78025</v>
      </c>
      <c r="G59" s="258">
        <f t="shared" si="2"/>
        <v>1169780.25</v>
      </c>
      <c r="H59" s="246">
        <f t="shared" si="3"/>
        <v>1319707</v>
      </c>
      <c r="I59" s="198">
        <f>SUM(I60:I61)</f>
        <v>240000</v>
      </c>
      <c r="J59" s="231">
        <f>SUM(J60:J62)</f>
        <v>1576.7070000000001</v>
      </c>
      <c r="K59" s="41">
        <f t="shared" si="23"/>
        <v>1559.7070000000001</v>
      </c>
      <c r="L59" s="198">
        <f>SUM(L60:L64)</f>
        <v>1559707</v>
      </c>
      <c r="M59" s="195">
        <f t="shared" si="11"/>
        <v>0</v>
      </c>
      <c r="N59" s="33">
        <f>N60+N61+N62+N63+N64</f>
        <v>0</v>
      </c>
      <c r="O59" s="41">
        <f t="shared" si="28"/>
        <v>0</v>
      </c>
      <c r="P59" s="251">
        <f t="shared" si="5"/>
        <v>0</v>
      </c>
      <c r="Q59" s="231">
        <f>Q60+Q61+Q62+Q64+Q63</f>
        <v>0</v>
      </c>
      <c r="R59" s="41">
        <f t="shared" si="12"/>
        <v>0</v>
      </c>
      <c r="S59" s="198">
        <f>S61+S62+S63+S64</f>
        <v>0</v>
      </c>
      <c r="T59" s="265"/>
      <c r="U59" s="210">
        <f>SUM(U60:U61)</f>
        <v>990202.25839694659</v>
      </c>
      <c r="V59" s="33">
        <f t="shared" si="6"/>
        <v>1109.6193883969465</v>
      </c>
      <c r="W59" s="33">
        <f t="shared" si="26"/>
        <v>1169.78025</v>
      </c>
      <c r="X59" s="231">
        <f t="shared" si="30"/>
        <v>1576.7070000000001</v>
      </c>
      <c r="Y59" s="41">
        <f t="shared" si="30"/>
        <v>1559.7070000000001</v>
      </c>
      <c r="Z59" s="250">
        <f t="shared" si="7"/>
        <v>467.08761160305357</v>
      </c>
      <c r="AA59" s="174">
        <f t="shared" si="8"/>
        <v>0</v>
      </c>
    </row>
    <row r="60" spans="1:27" s="117" customFormat="1" ht="9.9499999999999993" customHeight="1" x14ac:dyDescent="0.15">
      <c r="A60" s="144" t="s">
        <v>280</v>
      </c>
      <c r="B60" s="215">
        <v>1.9</v>
      </c>
      <c r="C60" s="145">
        <f t="shared" si="21"/>
        <v>763.21622638167946</v>
      </c>
      <c r="D60" s="191">
        <f t="shared" si="22"/>
        <v>763216.22638167941</v>
      </c>
      <c r="E60" s="274">
        <v>10662.51</v>
      </c>
      <c r="F60" s="196">
        <f t="shared" si="18"/>
        <v>782.23275000000001</v>
      </c>
      <c r="G60" s="258">
        <f t="shared" si="2"/>
        <v>782232.75</v>
      </c>
      <c r="H60" s="246">
        <f t="shared" si="3"/>
        <v>1002977</v>
      </c>
      <c r="I60" s="200">
        <f>L60-1002977</f>
        <v>40000</v>
      </c>
      <c r="J60" s="230">
        <f>K60+17</f>
        <v>1059.9770000000001</v>
      </c>
      <c r="K60" s="43">
        <f t="shared" si="23"/>
        <v>1042.9770000000001</v>
      </c>
      <c r="L60" s="200">
        <v>1042977</v>
      </c>
      <c r="M60" s="196">
        <f t="shared" si="11"/>
        <v>0</v>
      </c>
      <c r="N60" s="36"/>
      <c r="O60" s="43">
        <f t="shared" si="28"/>
        <v>0</v>
      </c>
      <c r="P60" s="251">
        <f t="shared" si="5"/>
        <v>0</v>
      </c>
      <c r="Q60" s="230">
        <f>R60</f>
        <v>0</v>
      </c>
      <c r="R60" s="43">
        <f t="shared" si="12"/>
        <v>0</v>
      </c>
      <c r="S60" s="200"/>
      <c r="T60" s="266"/>
      <c r="U60" s="227">
        <f t="shared" si="9"/>
        <v>752553.71638167941</v>
      </c>
      <c r="V60" s="36">
        <f t="shared" si="6"/>
        <v>763.21622638167946</v>
      </c>
      <c r="W60" s="36">
        <f t="shared" si="26"/>
        <v>782.23275000000001</v>
      </c>
      <c r="X60" s="230">
        <f t="shared" si="30"/>
        <v>1059.9770000000001</v>
      </c>
      <c r="Y60" s="43">
        <f t="shared" si="30"/>
        <v>1042.9770000000001</v>
      </c>
      <c r="Z60" s="250">
        <f t="shared" si="7"/>
        <v>296.76077361832063</v>
      </c>
      <c r="AA60" s="174">
        <f t="shared" si="8"/>
        <v>0</v>
      </c>
    </row>
    <row r="61" spans="1:27" s="117" customFormat="1" ht="9.9499999999999993" customHeight="1" x14ac:dyDescent="0.15">
      <c r="A61" s="144" t="s">
        <v>281</v>
      </c>
      <c r="B61" s="215">
        <v>0.6</v>
      </c>
      <c r="C61" s="145">
        <f t="shared" si="21"/>
        <v>346.40316201526718</v>
      </c>
      <c r="D61" s="191">
        <f t="shared" si="22"/>
        <v>346403.16201526718</v>
      </c>
      <c r="E61" s="274">
        <f>54561.66+54192.96</f>
        <v>108754.62</v>
      </c>
      <c r="F61" s="196">
        <f t="shared" si="18"/>
        <v>387.54750000000001</v>
      </c>
      <c r="G61" s="258">
        <f t="shared" si="2"/>
        <v>387547.5</v>
      </c>
      <c r="H61" s="246">
        <f t="shared" si="3"/>
        <v>316730</v>
      </c>
      <c r="I61" s="200">
        <f>L61-316730</f>
        <v>200000</v>
      </c>
      <c r="J61" s="230">
        <f t="shared" ref="J61:J64" si="34">K61</f>
        <v>516.73</v>
      </c>
      <c r="K61" s="43">
        <f t="shared" si="23"/>
        <v>516.73</v>
      </c>
      <c r="L61" s="200">
        <v>516730</v>
      </c>
      <c r="M61" s="196">
        <f t="shared" si="11"/>
        <v>0</v>
      </c>
      <c r="N61" s="36"/>
      <c r="O61" s="43">
        <f t="shared" si="28"/>
        <v>0</v>
      </c>
      <c r="P61" s="251">
        <f t="shared" si="5"/>
        <v>0</v>
      </c>
      <c r="Q61" s="230">
        <f>R61</f>
        <v>0</v>
      </c>
      <c r="R61" s="43">
        <f t="shared" si="12"/>
        <v>0</v>
      </c>
      <c r="S61" s="200"/>
      <c r="T61" s="266"/>
      <c r="U61" s="227">
        <f t="shared" si="9"/>
        <v>237648.54201526716</v>
      </c>
      <c r="V61" s="36">
        <f t="shared" si="6"/>
        <v>346.40316201526718</v>
      </c>
      <c r="W61" s="36">
        <f t="shared" si="26"/>
        <v>387.54750000000001</v>
      </c>
      <c r="X61" s="230">
        <f t="shared" si="30"/>
        <v>516.73</v>
      </c>
      <c r="Y61" s="43">
        <f t="shared" si="30"/>
        <v>516.73</v>
      </c>
      <c r="Z61" s="250">
        <f t="shared" si="7"/>
        <v>170.32683798473283</v>
      </c>
      <c r="AA61" s="174">
        <f t="shared" si="8"/>
        <v>0</v>
      </c>
    </row>
    <row r="62" spans="1:27" s="117" customFormat="1" ht="9.9499999999999993" hidden="1" customHeight="1" x14ac:dyDescent="0.15">
      <c r="A62" s="144"/>
      <c r="B62" s="215"/>
      <c r="C62" s="145">
        <f t="shared" si="21"/>
        <v>0</v>
      </c>
      <c r="D62" s="41">
        <f t="shared" si="22"/>
        <v>0</v>
      </c>
      <c r="E62" s="274"/>
      <c r="F62" s="196">
        <f t="shared" si="18"/>
        <v>0</v>
      </c>
      <c r="G62" s="258">
        <f t="shared" si="2"/>
        <v>0</v>
      </c>
      <c r="H62" s="246">
        <f t="shared" si="3"/>
        <v>0</v>
      </c>
      <c r="I62" s="200">
        <f t="shared" si="19"/>
        <v>0</v>
      </c>
      <c r="J62" s="230">
        <f t="shared" si="34"/>
        <v>0</v>
      </c>
      <c r="K62" s="43"/>
      <c r="L62" s="200"/>
      <c r="M62" s="196">
        <f t="shared" si="11"/>
        <v>0</v>
      </c>
      <c r="N62" s="36"/>
      <c r="O62" s="43">
        <f t="shared" si="28"/>
        <v>0</v>
      </c>
      <c r="P62" s="251">
        <f t="shared" si="5"/>
        <v>0</v>
      </c>
      <c r="Q62" s="230">
        <v>0</v>
      </c>
      <c r="R62" s="43">
        <f t="shared" si="12"/>
        <v>0</v>
      </c>
      <c r="S62" s="200"/>
      <c r="T62" s="266"/>
      <c r="U62" s="210">
        <f t="shared" si="9"/>
        <v>0</v>
      </c>
      <c r="V62" s="36">
        <f t="shared" si="6"/>
        <v>0</v>
      </c>
      <c r="W62" s="36">
        <f t="shared" si="26"/>
        <v>0</v>
      </c>
      <c r="X62" s="230">
        <f t="shared" si="30"/>
        <v>0</v>
      </c>
      <c r="Y62" s="43">
        <f t="shared" si="30"/>
        <v>0</v>
      </c>
      <c r="Z62" s="250">
        <f t="shared" si="7"/>
        <v>0</v>
      </c>
      <c r="AA62" s="174">
        <f t="shared" si="8"/>
        <v>0</v>
      </c>
    </row>
    <row r="63" spans="1:27" s="117" customFormat="1" ht="9.9499999999999993" hidden="1" customHeight="1" x14ac:dyDescent="0.15">
      <c r="A63" s="144"/>
      <c r="B63" s="212"/>
      <c r="C63" s="145">
        <f t="shared" si="21"/>
        <v>0</v>
      </c>
      <c r="D63" s="41">
        <f t="shared" si="22"/>
        <v>0</v>
      </c>
      <c r="E63" s="274"/>
      <c r="F63" s="195">
        <f t="shared" si="18"/>
        <v>0</v>
      </c>
      <c r="G63" s="258">
        <f t="shared" si="2"/>
        <v>0</v>
      </c>
      <c r="H63" s="246">
        <f t="shared" si="3"/>
        <v>0</v>
      </c>
      <c r="I63" s="200">
        <f t="shared" si="19"/>
        <v>0</v>
      </c>
      <c r="J63" s="230">
        <f t="shared" si="34"/>
        <v>0</v>
      </c>
      <c r="K63" s="41">
        <f t="shared" si="23"/>
        <v>0</v>
      </c>
      <c r="L63" s="200"/>
      <c r="M63" s="195">
        <f t="shared" si="11"/>
        <v>0</v>
      </c>
      <c r="N63" s="36"/>
      <c r="O63" s="43">
        <f t="shared" si="28"/>
        <v>0</v>
      </c>
      <c r="P63" s="251">
        <f t="shared" si="5"/>
        <v>0</v>
      </c>
      <c r="Q63" s="230"/>
      <c r="R63" s="43">
        <f t="shared" si="12"/>
        <v>0</v>
      </c>
      <c r="S63" s="200"/>
      <c r="T63" s="266"/>
      <c r="U63" s="210">
        <f t="shared" si="9"/>
        <v>0</v>
      </c>
      <c r="V63" s="36">
        <f t="shared" si="6"/>
        <v>0</v>
      </c>
      <c r="W63" s="36">
        <f t="shared" si="26"/>
        <v>0</v>
      </c>
      <c r="X63" s="230">
        <f t="shared" si="30"/>
        <v>0</v>
      </c>
      <c r="Y63" s="43">
        <f t="shared" si="30"/>
        <v>0</v>
      </c>
      <c r="Z63" s="250">
        <f t="shared" si="7"/>
        <v>0</v>
      </c>
      <c r="AA63" s="174">
        <f t="shared" si="8"/>
        <v>0</v>
      </c>
    </row>
    <row r="64" spans="1:27" s="117" customFormat="1" ht="9.9499999999999993" hidden="1" customHeight="1" x14ac:dyDescent="0.15">
      <c r="A64" s="144"/>
      <c r="B64" s="212"/>
      <c r="C64" s="145">
        <f t="shared" si="21"/>
        <v>0</v>
      </c>
      <c r="D64" s="41">
        <f t="shared" si="22"/>
        <v>0</v>
      </c>
      <c r="E64" s="274"/>
      <c r="F64" s="195">
        <f t="shared" si="18"/>
        <v>0</v>
      </c>
      <c r="G64" s="258">
        <f t="shared" si="2"/>
        <v>0</v>
      </c>
      <c r="H64" s="246">
        <f t="shared" si="3"/>
        <v>0</v>
      </c>
      <c r="I64" s="200">
        <f t="shared" si="19"/>
        <v>0</v>
      </c>
      <c r="J64" s="230">
        <f t="shared" si="34"/>
        <v>0</v>
      </c>
      <c r="K64" s="41">
        <f t="shared" si="23"/>
        <v>0</v>
      </c>
      <c r="L64" s="200"/>
      <c r="M64" s="195">
        <f t="shared" si="11"/>
        <v>0</v>
      </c>
      <c r="N64" s="36"/>
      <c r="O64" s="43">
        <f t="shared" si="28"/>
        <v>0</v>
      </c>
      <c r="P64" s="251">
        <f t="shared" si="5"/>
        <v>0</v>
      </c>
      <c r="Q64" s="230">
        <v>0</v>
      </c>
      <c r="R64" s="43">
        <f t="shared" si="12"/>
        <v>0</v>
      </c>
      <c r="S64" s="200"/>
      <c r="T64" s="266"/>
      <c r="U64" s="210">
        <f t="shared" si="9"/>
        <v>0</v>
      </c>
      <c r="V64" s="36">
        <f t="shared" si="6"/>
        <v>0</v>
      </c>
      <c r="W64" s="36">
        <f t="shared" si="26"/>
        <v>0</v>
      </c>
      <c r="X64" s="230">
        <f t="shared" si="30"/>
        <v>0</v>
      </c>
      <c r="Y64" s="43">
        <f t="shared" si="30"/>
        <v>0</v>
      </c>
      <c r="Z64" s="250">
        <f t="shared" si="7"/>
        <v>0</v>
      </c>
      <c r="AA64" s="174">
        <f t="shared" si="8"/>
        <v>0</v>
      </c>
    </row>
    <row r="65" spans="1:27" s="118" customFormat="1" ht="9.9499999999999993" customHeight="1" x14ac:dyDescent="0.15">
      <c r="A65" s="142" t="s">
        <v>282</v>
      </c>
      <c r="B65" s="212">
        <f>SUM(B66:B72)</f>
        <v>1.65</v>
      </c>
      <c r="C65" s="140">
        <f t="shared" si="21"/>
        <v>932.40230054198457</v>
      </c>
      <c r="D65" s="41">
        <f t="shared" si="22"/>
        <v>932402.30054198462</v>
      </c>
      <c r="E65" s="247">
        <f>SUM(E66:E67)</f>
        <v>278868.81</v>
      </c>
      <c r="F65" s="195">
        <f t="shared" si="18"/>
        <v>699.38025000000005</v>
      </c>
      <c r="G65" s="258">
        <f t="shared" si="2"/>
        <v>699380.25</v>
      </c>
      <c r="H65" s="246">
        <f t="shared" si="3"/>
        <v>871007</v>
      </c>
      <c r="I65" s="198">
        <f>SUM(I66:I67)</f>
        <v>61500</v>
      </c>
      <c r="J65" s="231">
        <f>SUM(J66:J71)</f>
        <v>1165.5070000000001</v>
      </c>
      <c r="K65" s="41">
        <f t="shared" si="23"/>
        <v>932.50699999999995</v>
      </c>
      <c r="L65" s="198">
        <f>SUM(L66:L72)</f>
        <v>932507</v>
      </c>
      <c r="M65" s="195">
        <f t="shared" si="11"/>
        <v>-300</v>
      </c>
      <c r="N65" s="33">
        <f>N66+N67+N72</f>
        <v>0</v>
      </c>
      <c r="O65" s="41">
        <f t="shared" si="28"/>
        <v>0</v>
      </c>
      <c r="P65" s="251">
        <f t="shared" si="5"/>
        <v>0</v>
      </c>
      <c r="Q65" s="231">
        <f>SUM(Q66:Q71)</f>
        <v>-300</v>
      </c>
      <c r="R65" s="41">
        <f t="shared" si="12"/>
        <v>0</v>
      </c>
      <c r="S65" s="198">
        <f>SUM(S66:S72)</f>
        <v>0</v>
      </c>
      <c r="T65" s="265">
        <f>SUM(T66:T72)</f>
        <v>300000</v>
      </c>
      <c r="U65" s="210">
        <f>SUM(U66:U67)</f>
        <v>653533.49054198468</v>
      </c>
      <c r="V65" s="33">
        <f t="shared" si="6"/>
        <v>632.40230054198457</v>
      </c>
      <c r="W65" s="33">
        <f t="shared" si="26"/>
        <v>699.38025000000005</v>
      </c>
      <c r="X65" s="231">
        <f t="shared" si="30"/>
        <v>865.50700000000006</v>
      </c>
      <c r="Y65" s="41">
        <f t="shared" si="30"/>
        <v>932.50699999999995</v>
      </c>
      <c r="Z65" s="250">
        <f t="shared" si="7"/>
        <v>233.10469945801549</v>
      </c>
      <c r="AA65" s="174">
        <f t="shared" si="8"/>
        <v>0</v>
      </c>
    </row>
    <row r="66" spans="1:27" s="117" customFormat="1" ht="9.9499999999999993" customHeight="1" x14ac:dyDescent="0.15">
      <c r="A66" s="144" t="s">
        <v>283</v>
      </c>
      <c r="B66" s="215">
        <v>1.05</v>
      </c>
      <c r="C66" s="145">
        <f t="shared" si="21"/>
        <v>471.75932852671752</v>
      </c>
      <c r="D66" s="191">
        <f t="shared" si="22"/>
        <v>471759.32852671755</v>
      </c>
      <c r="E66" s="274">
        <v>55874.38</v>
      </c>
      <c r="F66" s="196">
        <f t="shared" si="18"/>
        <v>461.83274999999998</v>
      </c>
      <c r="G66" s="258">
        <f t="shared" si="2"/>
        <v>461832.75</v>
      </c>
      <c r="H66" s="246">
        <f t="shared" si="3"/>
        <v>554277</v>
      </c>
      <c r="I66" s="200">
        <f>L66-554277</f>
        <v>61500</v>
      </c>
      <c r="J66" s="230">
        <f>K66</f>
        <v>615.77700000000004</v>
      </c>
      <c r="K66" s="43">
        <f t="shared" si="23"/>
        <v>615.77700000000004</v>
      </c>
      <c r="L66" s="200">
        <v>615777</v>
      </c>
      <c r="M66" s="196">
        <f t="shared" si="11"/>
        <v>0</v>
      </c>
      <c r="N66" s="36"/>
      <c r="O66" s="43">
        <f t="shared" si="28"/>
        <v>0</v>
      </c>
      <c r="P66" s="251">
        <f t="shared" si="5"/>
        <v>0</v>
      </c>
      <c r="Q66" s="230">
        <v>0</v>
      </c>
      <c r="R66" s="43">
        <f t="shared" si="12"/>
        <v>0</v>
      </c>
      <c r="S66" s="200"/>
      <c r="T66" s="266"/>
      <c r="U66" s="227">
        <f t="shared" si="9"/>
        <v>415884.94852671755</v>
      </c>
      <c r="V66" s="36">
        <f t="shared" si="6"/>
        <v>471.75932852671752</v>
      </c>
      <c r="W66" s="36">
        <f t="shared" si="26"/>
        <v>461.83274999999998</v>
      </c>
      <c r="X66" s="230">
        <f t="shared" si="30"/>
        <v>615.77700000000004</v>
      </c>
      <c r="Y66" s="43">
        <f t="shared" si="30"/>
        <v>615.77700000000004</v>
      </c>
      <c r="Z66" s="250">
        <f t="shared" si="7"/>
        <v>144.01767147328252</v>
      </c>
      <c r="AA66" s="174">
        <f t="shared" si="8"/>
        <v>0</v>
      </c>
    </row>
    <row r="67" spans="1:27" s="117" customFormat="1" ht="9.9499999999999993" customHeight="1" x14ac:dyDescent="0.15">
      <c r="A67" s="144" t="s">
        <v>284</v>
      </c>
      <c r="B67" s="215">
        <v>0.6</v>
      </c>
      <c r="C67" s="145">
        <f t="shared" si="21"/>
        <v>460.64297201526711</v>
      </c>
      <c r="D67" s="191">
        <f t="shared" si="22"/>
        <v>460642.97201526712</v>
      </c>
      <c r="E67" s="274">
        <v>222994.43</v>
      </c>
      <c r="F67" s="196">
        <f t="shared" si="18"/>
        <v>237.54750000000001</v>
      </c>
      <c r="G67" s="258">
        <f t="shared" si="2"/>
        <v>237547.5</v>
      </c>
      <c r="H67" s="246">
        <f t="shared" si="3"/>
        <v>316730</v>
      </c>
      <c r="I67" s="200">
        <f>L67-316730</f>
        <v>0</v>
      </c>
      <c r="J67" s="230">
        <f>K67+233</f>
        <v>549.73</v>
      </c>
      <c r="K67" s="43">
        <f t="shared" si="23"/>
        <v>316.73</v>
      </c>
      <c r="L67" s="200">
        <v>316730</v>
      </c>
      <c r="M67" s="196">
        <f t="shared" si="11"/>
        <v>-300</v>
      </c>
      <c r="N67" s="36"/>
      <c r="O67" s="43">
        <f t="shared" si="28"/>
        <v>0</v>
      </c>
      <c r="P67" s="251">
        <f>S67/4*3</f>
        <v>0</v>
      </c>
      <c r="Q67" s="230">
        <v>-300</v>
      </c>
      <c r="R67" s="43">
        <f t="shared" si="12"/>
        <v>0</v>
      </c>
      <c r="S67" s="200"/>
      <c r="T67" s="266">
        <v>300000</v>
      </c>
      <c r="U67" s="227">
        <f t="shared" si="9"/>
        <v>237648.54201526716</v>
      </c>
      <c r="V67" s="36">
        <f t="shared" si="6"/>
        <v>160.64297201526711</v>
      </c>
      <c r="W67" s="36">
        <f t="shared" si="26"/>
        <v>237.54750000000001</v>
      </c>
      <c r="X67" s="230">
        <f t="shared" si="30"/>
        <v>249.73000000000002</v>
      </c>
      <c r="Y67" s="43">
        <f t="shared" si="30"/>
        <v>316.73</v>
      </c>
      <c r="Z67" s="250">
        <f t="shared" si="7"/>
        <v>89.087027984732913</v>
      </c>
      <c r="AA67" s="174">
        <f t="shared" si="8"/>
        <v>0</v>
      </c>
    </row>
    <row r="68" spans="1:27" s="117" customFormat="1" ht="9.9499999999999993" hidden="1" customHeight="1" x14ac:dyDescent="0.15">
      <c r="A68" s="144"/>
      <c r="B68" s="215"/>
      <c r="C68" s="145">
        <f t="shared" si="21"/>
        <v>0</v>
      </c>
      <c r="D68" s="41">
        <f t="shared" si="22"/>
        <v>0</v>
      </c>
      <c r="E68" s="274"/>
      <c r="F68" s="196">
        <f t="shared" si="18"/>
        <v>0</v>
      </c>
      <c r="G68" s="258">
        <f t="shared" si="2"/>
        <v>0</v>
      </c>
      <c r="H68" s="246">
        <f t="shared" si="3"/>
        <v>0</v>
      </c>
      <c r="I68" s="200">
        <f t="shared" si="19"/>
        <v>0</v>
      </c>
      <c r="J68" s="230">
        <f t="shared" ref="J68:J72" si="35">K68</f>
        <v>0</v>
      </c>
      <c r="K68" s="43">
        <f t="shared" si="23"/>
        <v>0</v>
      </c>
      <c r="L68" s="200"/>
      <c r="M68" s="196">
        <f t="shared" si="11"/>
        <v>0</v>
      </c>
      <c r="N68" s="36"/>
      <c r="O68" s="43">
        <f t="shared" si="28"/>
        <v>0</v>
      </c>
      <c r="P68" s="251">
        <f t="shared" si="5"/>
        <v>0</v>
      </c>
      <c r="Q68" s="230"/>
      <c r="R68" s="43">
        <f t="shared" si="12"/>
        <v>0</v>
      </c>
      <c r="S68" s="200"/>
      <c r="T68" s="266"/>
      <c r="U68" s="210">
        <f t="shared" si="9"/>
        <v>0</v>
      </c>
      <c r="V68" s="36">
        <f t="shared" si="6"/>
        <v>0</v>
      </c>
      <c r="W68" s="36">
        <f t="shared" si="26"/>
        <v>0</v>
      </c>
      <c r="X68" s="230">
        <f t="shared" si="30"/>
        <v>0</v>
      </c>
      <c r="Y68" s="43">
        <f t="shared" si="30"/>
        <v>0</v>
      </c>
      <c r="Z68" s="250">
        <f t="shared" si="7"/>
        <v>0</v>
      </c>
      <c r="AA68" s="174">
        <f t="shared" si="8"/>
        <v>0</v>
      </c>
    </row>
    <row r="69" spans="1:27" s="117" customFormat="1" ht="9.75" hidden="1" customHeight="1" x14ac:dyDescent="0.15">
      <c r="A69" s="144"/>
      <c r="B69" s="215"/>
      <c r="C69" s="145">
        <f t="shared" si="21"/>
        <v>0</v>
      </c>
      <c r="D69" s="41">
        <f t="shared" si="22"/>
        <v>0</v>
      </c>
      <c r="E69" s="274"/>
      <c r="F69" s="196">
        <f t="shared" si="18"/>
        <v>0</v>
      </c>
      <c r="G69" s="258">
        <f t="shared" si="2"/>
        <v>0</v>
      </c>
      <c r="H69" s="246">
        <f t="shared" si="3"/>
        <v>0</v>
      </c>
      <c r="I69" s="200">
        <f t="shared" si="19"/>
        <v>0</v>
      </c>
      <c r="J69" s="230">
        <f t="shared" si="35"/>
        <v>0</v>
      </c>
      <c r="K69" s="43">
        <f t="shared" si="23"/>
        <v>0</v>
      </c>
      <c r="L69" s="200"/>
      <c r="M69" s="196">
        <f t="shared" si="11"/>
        <v>0</v>
      </c>
      <c r="N69" s="36"/>
      <c r="O69" s="43">
        <f t="shared" si="28"/>
        <v>0</v>
      </c>
      <c r="P69" s="251">
        <f t="shared" si="5"/>
        <v>0</v>
      </c>
      <c r="Q69" s="230"/>
      <c r="R69" s="43">
        <f t="shared" si="12"/>
        <v>0</v>
      </c>
      <c r="S69" s="200"/>
      <c r="T69" s="266"/>
      <c r="U69" s="210">
        <f t="shared" si="9"/>
        <v>0</v>
      </c>
      <c r="V69" s="36">
        <f t="shared" si="6"/>
        <v>0</v>
      </c>
      <c r="W69" s="36">
        <f t="shared" si="26"/>
        <v>0</v>
      </c>
      <c r="X69" s="230">
        <f t="shared" si="30"/>
        <v>0</v>
      </c>
      <c r="Y69" s="43">
        <f t="shared" si="30"/>
        <v>0</v>
      </c>
      <c r="Z69" s="250">
        <f t="shared" si="7"/>
        <v>0</v>
      </c>
      <c r="AA69" s="174">
        <f t="shared" si="8"/>
        <v>0</v>
      </c>
    </row>
    <row r="70" spans="1:27" s="117" customFormat="1" ht="9.9499999999999993" hidden="1" customHeight="1" x14ac:dyDescent="0.15">
      <c r="A70" s="144"/>
      <c r="B70" s="215"/>
      <c r="C70" s="145">
        <f t="shared" si="21"/>
        <v>0</v>
      </c>
      <c r="D70" s="41">
        <f t="shared" si="22"/>
        <v>0</v>
      </c>
      <c r="E70" s="274"/>
      <c r="F70" s="196">
        <f t="shared" si="18"/>
        <v>0</v>
      </c>
      <c r="G70" s="258">
        <f t="shared" si="2"/>
        <v>0</v>
      </c>
      <c r="H70" s="246">
        <f t="shared" si="3"/>
        <v>0</v>
      </c>
      <c r="I70" s="200">
        <f t="shared" si="19"/>
        <v>0</v>
      </c>
      <c r="J70" s="230">
        <f t="shared" si="35"/>
        <v>0</v>
      </c>
      <c r="K70" s="43">
        <f t="shared" si="23"/>
        <v>0</v>
      </c>
      <c r="L70" s="200">
        <v>0</v>
      </c>
      <c r="M70" s="196">
        <f t="shared" si="11"/>
        <v>0</v>
      </c>
      <c r="N70" s="36"/>
      <c r="O70" s="43">
        <f t="shared" si="28"/>
        <v>0</v>
      </c>
      <c r="P70" s="251">
        <f t="shared" si="5"/>
        <v>0</v>
      </c>
      <c r="Q70" s="230"/>
      <c r="R70" s="43">
        <f t="shared" si="12"/>
        <v>0</v>
      </c>
      <c r="S70" s="200"/>
      <c r="T70" s="266"/>
      <c r="U70" s="210">
        <f t="shared" si="9"/>
        <v>0</v>
      </c>
      <c r="V70" s="36">
        <f t="shared" si="6"/>
        <v>0</v>
      </c>
      <c r="W70" s="36">
        <f t="shared" si="26"/>
        <v>0</v>
      </c>
      <c r="X70" s="230">
        <f t="shared" si="30"/>
        <v>0</v>
      </c>
      <c r="Y70" s="43">
        <f t="shared" si="30"/>
        <v>0</v>
      </c>
      <c r="Z70" s="250">
        <f t="shared" si="7"/>
        <v>0</v>
      </c>
      <c r="AA70" s="174">
        <f t="shared" si="8"/>
        <v>0</v>
      </c>
    </row>
    <row r="71" spans="1:27" s="117" customFormat="1" ht="9.9499999999999993" hidden="1" customHeight="1" x14ac:dyDescent="0.15">
      <c r="A71" s="144"/>
      <c r="B71" s="215"/>
      <c r="C71" s="145">
        <f t="shared" si="21"/>
        <v>0</v>
      </c>
      <c r="D71" s="41">
        <f t="shared" si="22"/>
        <v>0</v>
      </c>
      <c r="E71" s="274"/>
      <c r="F71" s="196">
        <f t="shared" si="18"/>
        <v>0</v>
      </c>
      <c r="G71" s="258">
        <f t="shared" si="2"/>
        <v>0</v>
      </c>
      <c r="H71" s="246">
        <f t="shared" si="3"/>
        <v>0</v>
      </c>
      <c r="I71" s="200">
        <f t="shared" si="19"/>
        <v>0</v>
      </c>
      <c r="J71" s="230">
        <f t="shared" si="35"/>
        <v>0</v>
      </c>
      <c r="K71" s="43">
        <f t="shared" si="23"/>
        <v>0</v>
      </c>
      <c r="L71" s="200"/>
      <c r="M71" s="196">
        <f t="shared" si="11"/>
        <v>0</v>
      </c>
      <c r="N71" s="36"/>
      <c r="O71" s="43">
        <f t="shared" si="28"/>
        <v>0</v>
      </c>
      <c r="P71" s="251">
        <f t="shared" si="5"/>
        <v>0</v>
      </c>
      <c r="Q71" s="230">
        <v>0</v>
      </c>
      <c r="R71" s="43">
        <f t="shared" si="12"/>
        <v>0</v>
      </c>
      <c r="S71" s="200"/>
      <c r="T71" s="266"/>
      <c r="U71" s="210">
        <f t="shared" si="9"/>
        <v>0</v>
      </c>
      <c r="V71" s="36">
        <f t="shared" si="6"/>
        <v>0</v>
      </c>
      <c r="W71" s="36">
        <f t="shared" si="26"/>
        <v>0</v>
      </c>
      <c r="X71" s="230">
        <f t="shared" si="30"/>
        <v>0</v>
      </c>
      <c r="Y71" s="43">
        <f t="shared" si="30"/>
        <v>0</v>
      </c>
      <c r="Z71" s="250">
        <f t="shared" si="7"/>
        <v>0</v>
      </c>
      <c r="AA71" s="174">
        <f t="shared" si="8"/>
        <v>0</v>
      </c>
    </row>
    <row r="72" spans="1:27" s="117" customFormat="1" ht="9.9499999999999993" hidden="1" customHeight="1" x14ac:dyDescent="0.15">
      <c r="A72" s="144"/>
      <c r="B72" s="215"/>
      <c r="C72" s="145">
        <f t="shared" si="21"/>
        <v>0</v>
      </c>
      <c r="D72" s="41">
        <f t="shared" si="22"/>
        <v>0</v>
      </c>
      <c r="E72" s="274"/>
      <c r="F72" s="195">
        <f t="shared" si="18"/>
        <v>0</v>
      </c>
      <c r="G72" s="258">
        <f t="shared" si="2"/>
        <v>0</v>
      </c>
      <c r="H72" s="246">
        <f t="shared" si="3"/>
        <v>0</v>
      </c>
      <c r="I72" s="200">
        <f t="shared" si="19"/>
        <v>0</v>
      </c>
      <c r="J72" s="230">
        <f t="shared" si="35"/>
        <v>0</v>
      </c>
      <c r="K72" s="43">
        <f t="shared" si="23"/>
        <v>0</v>
      </c>
      <c r="L72" s="200"/>
      <c r="M72" s="196">
        <f t="shared" si="11"/>
        <v>0</v>
      </c>
      <c r="N72" s="36"/>
      <c r="O72" s="43">
        <f t="shared" si="28"/>
        <v>0</v>
      </c>
      <c r="P72" s="251">
        <f t="shared" si="5"/>
        <v>0</v>
      </c>
      <c r="Q72" s="230">
        <v>0</v>
      </c>
      <c r="R72" s="43">
        <f t="shared" si="12"/>
        <v>0</v>
      </c>
      <c r="S72" s="200"/>
      <c r="T72" s="266"/>
      <c r="U72" s="210">
        <f t="shared" si="9"/>
        <v>0</v>
      </c>
      <c r="V72" s="36">
        <f t="shared" si="6"/>
        <v>0</v>
      </c>
      <c r="W72" s="36">
        <f t="shared" si="26"/>
        <v>0</v>
      </c>
      <c r="X72" s="230">
        <f t="shared" si="30"/>
        <v>0</v>
      </c>
      <c r="Y72" s="43">
        <f t="shared" si="30"/>
        <v>0</v>
      </c>
      <c r="Z72" s="250">
        <f t="shared" si="7"/>
        <v>0</v>
      </c>
      <c r="AA72" s="174">
        <f t="shared" si="8"/>
        <v>0</v>
      </c>
    </row>
    <row r="73" spans="1:27" s="118" customFormat="1" ht="9.9499999999999993" customHeight="1" x14ac:dyDescent="0.15">
      <c r="A73" s="142" t="s">
        <v>285</v>
      </c>
      <c r="B73" s="212">
        <f>SUM(B74:B76)</f>
        <v>1</v>
      </c>
      <c r="C73" s="140">
        <f t="shared" si="21"/>
        <v>480.2148133587786</v>
      </c>
      <c r="D73" s="41">
        <f t="shared" si="22"/>
        <v>480214.8133587786</v>
      </c>
      <c r="E73" s="247">
        <f>SUM(E74:E76)</f>
        <v>84133.91</v>
      </c>
      <c r="F73" s="195">
        <f t="shared" si="18"/>
        <v>465.66224999999997</v>
      </c>
      <c r="G73" s="258">
        <f t="shared" si="2"/>
        <v>465662.25</v>
      </c>
      <c r="H73" s="246">
        <f t="shared" si="3"/>
        <v>527883</v>
      </c>
      <c r="I73" s="198">
        <f>I74</f>
        <v>93000</v>
      </c>
      <c r="J73" s="231">
        <f>J75+J74</f>
        <v>630</v>
      </c>
      <c r="K73" s="41">
        <f t="shared" si="23"/>
        <v>620.88300000000004</v>
      </c>
      <c r="L73" s="198">
        <f>SUM(L74:L76)</f>
        <v>620883</v>
      </c>
      <c r="M73" s="195">
        <f t="shared" si="11"/>
        <v>0</v>
      </c>
      <c r="N73" s="33">
        <f>N75+N76</f>
        <v>0</v>
      </c>
      <c r="O73" s="41">
        <f t="shared" si="28"/>
        <v>0</v>
      </c>
      <c r="P73" s="251">
        <f t="shared" si="5"/>
        <v>0</v>
      </c>
      <c r="Q73" s="231">
        <v>0</v>
      </c>
      <c r="R73" s="41">
        <f t="shared" si="12"/>
        <v>0</v>
      </c>
      <c r="S73" s="198">
        <f>SUM(S74:S76)</f>
        <v>0</v>
      </c>
      <c r="T73" s="265">
        <f>T75</f>
        <v>0</v>
      </c>
      <c r="U73" s="210">
        <f>SUM(U74)</f>
        <v>396080.90335877863</v>
      </c>
      <c r="V73" s="33">
        <f>C73+M73</f>
        <v>480.2148133587786</v>
      </c>
      <c r="W73" s="33">
        <f>F73+O73</f>
        <v>465.66224999999997</v>
      </c>
      <c r="X73" s="231">
        <f t="shared" si="30"/>
        <v>630</v>
      </c>
      <c r="Y73" s="41">
        <f t="shared" si="30"/>
        <v>620.88300000000004</v>
      </c>
      <c r="Z73" s="250">
        <f t="shared" si="7"/>
        <v>149.7851866412214</v>
      </c>
      <c r="AA73" s="174">
        <f t="shared" si="8"/>
        <v>0</v>
      </c>
    </row>
    <row r="74" spans="1:27" s="118" customFormat="1" ht="9.9499999999999993" customHeight="1" x14ac:dyDescent="0.15">
      <c r="A74" s="144" t="s">
        <v>286</v>
      </c>
      <c r="B74" s="215">
        <v>1</v>
      </c>
      <c r="C74" s="145">
        <f t="shared" si="21"/>
        <v>480.2148133587786</v>
      </c>
      <c r="D74" s="43">
        <f t="shared" si="22"/>
        <v>480214.8133587786</v>
      </c>
      <c r="E74" s="274">
        <v>84133.91</v>
      </c>
      <c r="F74" s="196">
        <f t="shared" si="18"/>
        <v>465.66224999999997</v>
      </c>
      <c r="G74" s="258">
        <f t="shared" ref="G74:G137" si="36">L74/4*3</f>
        <v>465662.25</v>
      </c>
      <c r="H74" s="246">
        <f t="shared" ref="H74:H137" si="37">L74-I74</f>
        <v>527883</v>
      </c>
      <c r="I74" s="200">
        <f>L74-527883</f>
        <v>93000</v>
      </c>
      <c r="J74" s="230">
        <v>630</v>
      </c>
      <c r="K74" s="43">
        <f t="shared" si="23"/>
        <v>620.88300000000004</v>
      </c>
      <c r="L74" s="200">
        <v>620883</v>
      </c>
      <c r="M74" s="196">
        <f t="shared" si="11"/>
        <v>0</v>
      </c>
      <c r="N74" s="36"/>
      <c r="O74" s="43">
        <f t="shared" si="28"/>
        <v>0</v>
      </c>
      <c r="P74" s="251">
        <f t="shared" ref="P74:P100" si="38">S74/4*3</f>
        <v>0</v>
      </c>
      <c r="Q74" s="230">
        <f>R74</f>
        <v>0</v>
      </c>
      <c r="R74" s="43">
        <f t="shared" si="12"/>
        <v>0</v>
      </c>
      <c r="S74" s="198"/>
      <c r="T74" s="265"/>
      <c r="U74" s="227">
        <f t="shared" si="9"/>
        <v>396080.90335877863</v>
      </c>
      <c r="V74" s="36">
        <f>C74+M74</f>
        <v>480.2148133587786</v>
      </c>
      <c r="W74" s="36">
        <f>F74+O74</f>
        <v>465.66224999999997</v>
      </c>
      <c r="X74" s="230">
        <f t="shared" si="30"/>
        <v>630</v>
      </c>
      <c r="Y74" s="43">
        <f t="shared" si="30"/>
        <v>620.88300000000004</v>
      </c>
      <c r="Z74" s="250">
        <f t="shared" ref="Z74:Z137" si="39">J74-C74</f>
        <v>149.7851866412214</v>
      </c>
      <c r="AA74" s="174">
        <f t="shared" ref="AA74:AA137" si="40">M74-Q74</f>
        <v>0</v>
      </c>
    </row>
    <row r="75" spans="1:27" s="117" customFormat="1" ht="9.9499999999999993" hidden="1" customHeight="1" x14ac:dyDescent="0.15">
      <c r="A75" s="144">
        <v>0</v>
      </c>
      <c r="B75" s="215">
        <v>0</v>
      </c>
      <c r="C75" s="145">
        <f t="shared" si="21"/>
        <v>0</v>
      </c>
      <c r="D75" s="41">
        <f t="shared" si="22"/>
        <v>0</v>
      </c>
      <c r="E75" s="194"/>
      <c r="F75" s="195">
        <f t="shared" si="18"/>
        <v>0</v>
      </c>
      <c r="G75" s="258">
        <f t="shared" si="36"/>
        <v>0</v>
      </c>
      <c r="H75" s="246">
        <f t="shared" si="37"/>
        <v>0</v>
      </c>
      <c r="I75" s="200">
        <f t="shared" si="19"/>
        <v>0</v>
      </c>
      <c r="J75" s="230"/>
      <c r="K75" s="43">
        <f t="shared" si="23"/>
        <v>0</v>
      </c>
      <c r="L75" s="200"/>
      <c r="M75" s="196">
        <f t="shared" si="11"/>
        <v>0</v>
      </c>
      <c r="N75" s="36"/>
      <c r="O75" s="41">
        <f t="shared" si="28"/>
        <v>0</v>
      </c>
      <c r="P75" s="251">
        <f t="shared" si="38"/>
        <v>0</v>
      </c>
      <c r="Q75" s="230">
        <v>0</v>
      </c>
      <c r="R75" s="43">
        <f t="shared" si="12"/>
        <v>0</v>
      </c>
      <c r="S75" s="200"/>
      <c r="T75" s="266"/>
      <c r="U75" s="210">
        <f t="shared" si="9"/>
        <v>0</v>
      </c>
      <c r="V75" s="36">
        <f t="shared" ref="V75:V102" si="41">C75+M75</f>
        <v>0</v>
      </c>
      <c r="W75" s="36">
        <f>F75+O75</f>
        <v>0</v>
      </c>
      <c r="X75" s="231">
        <f t="shared" si="30"/>
        <v>0</v>
      </c>
      <c r="Y75" s="43">
        <f t="shared" si="30"/>
        <v>0</v>
      </c>
      <c r="Z75" s="250">
        <f t="shared" si="39"/>
        <v>0</v>
      </c>
      <c r="AA75" s="174">
        <f t="shared" si="40"/>
        <v>0</v>
      </c>
    </row>
    <row r="76" spans="1:27" s="117" customFormat="1" ht="9.9499999999999993" hidden="1" customHeight="1" x14ac:dyDescent="0.15">
      <c r="A76" s="144"/>
      <c r="B76" s="215"/>
      <c r="C76" s="145">
        <f t="shared" si="21"/>
        <v>0</v>
      </c>
      <c r="D76" s="41">
        <f t="shared" si="22"/>
        <v>0</v>
      </c>
      <c r="E76" s="194"/>
      <c r="F76" s="195">
        <f t="shared" si="18"/>
        <v>0</v>
      </c>
      <c r="G76" s="258">
        <f t="shared" si="36"/>
        <v>0</v>
      </c>
      <c r="H76" s="246">
        <f t="shared" si="37"/>
        <v>0</v>
      </c>
      <c r="I76" s="200">
        <f t="shared" si="19"/>
        <v>0</v>
      </c>
      <c r="J76" s="230"/>
      <c r="K76" s="41">
        <f t="shared" si="23"/>
        <v>0</v>
      </c>
      <c r="L76" s="200"/>
      <c r="M76" s="195">
        <f t="shared" si="11"/>
        <v>0</v>
      </c>
      <c r="N76" s="36"/>
      <c r="O76" s="41">
        <f t="shared" si="28"/>
        <v>0</v>
      </c>
      <c r="P76" s="251">
        <f t="shared" si="38"/>
        <v>0</v>
      </c>
      <c r="Q76" s="230">
        <v>0</v>
      </c>
      <c r="R76" s="43">
        <f t="shared" ref="R76:R102" si="42">S76/1000*-1</f>
        <v>0</v>
      </c>
      <c r="S76" s="200"/>
      <c r="T76" s="266"/>
      <c r="U76" s="210">
        <f t="shared" si="9"/>
        <v>0</v>
      </c>
      <c r="V76" s="36">
        <f t="shared" si="41"/>
        <v>0</v>
      </c>
      <c r="W76" s="36">
        <f>F76+O76</f>
        <v>0</v>
      </c>
      <c r="X76" s="231">
        <f t="shared" si="30"/>
        <v>0</v>
      </c>
      <c r="Y76" s="43">
        <f t="shared" si="30"/>
        <v>0</v>
      </c>
      <c r="Z76" s="250">
        <f t="shared" si="39"/>
        <v>0</v>
      </c>
      <c r="AA76" s="174">
        <f t="shared" si="40"/>
        <v>0</v>
      </c>
    </row>
    <row r="77" spans="1:27" s="118" customFormat="1" ht="9.9499999999999993" customHeight="1" x14ac:dyDescent="0.15">
      <c r="A77" s="142" t="s">
        <v>287</v>
      </c>
      <c r="B77" s="212">
        <f>SUM(B78:B81)</f>
        <v>2.2999999999999998</v>
      </c>
      <c r="C77" s="140">
        <f t="shared" si="21"/>
        <v>1992.9421977251909</v>
      </c>
      <c r="D77" s="41">
        <f t="shared" si="22"/>
        <v>1992942.197725191</v>
      </c>
      <c r="E77" s="247">
        <f>SUM(E78:E81)</f>
        <v>1081956.1200000001</v>
      </c>
      <c r="F77" s="195">
        <f t="shared" si="18"/>
        <v>1338.09825</v>
      </c>
      <c r="G77" s="258">
        <f t="shared" si="36"/>
        <v>1338098.25</v>
      </c>
      <c r="H77" s="246">
        <f t="shared" si="37"/>
        <v>1214131</v>
      </c>
      <c r="I77" s="198">
        <f>SUM(I78:I81)</f>
        <v>570000</v>
      </c>
      <c r="J77" s="231">
        <f>SUM(J78:J81)</f>
        <v>2298.4009999999998</v>
      </c>
      <c r="K77" s="41">
        <f t="shared" si="23"/>
        <v>1784.1310000000001</v>
      </c>
      <c r="L77" s="198">
        <f>SUM(L78:L81)</f>
        <v>1784131</v>
      </c>
      <c r="M77" s="195">
        <f t="shared" si="11"/>
        <v>-1343.164</v>
      </c>
      <c r="N77" s="33">
        <f>N79+N80</f>
        <v>0</v>
      </c>
      <c r="O77" s="41">
        <f t="shared" si="28"/>
        <v>-630</v>
      </c>
      <c r="P77" s="251">
        <f t="shared" si="38"/>
        <v>630000</v>
      </c>
      <c r="Q77" s="231">
        <f>SUM(Q78:Q81)</f>
        <v>-1645</v>
      </c>
      <c r="R77" s="41">
        <f t="shared" si="42"/>
        <v>-840</v>
      </c>
      <c r="S77" s="198">
        <f>S79+S80+S81</f>
        <v>840000</v>
      </c>
      <c r="T77" s="265">
        <f>SUM(T78:T81)</f>
        <v>1343164</v>
      </c>
      <c r="U77" s="210">
        <f>SUM(U78:U81)</f>
        <v>910986.0777251909</v>
      </c>
      <c r="V77" s="33">
        <f t="shared" si="41"/>
        <v>649.77819772519092</v>
      </c>
      <c r="W77" s="33">
        <f>F77+O77</f>
        <v>708.09825000000001</v>
      </c>
      <c r="X77" s="231">
        <f t="shared" si="30"/>
        <v>653.40099999999984</v>
      </c>
      <c r="Y77" s="41">
        <f t="shared" si="30"/>
        <v>944.13100000000009</v>
      </c>
      <c r="Z77" s="250">
        <f t="shared" si="39"/>
        <v>305.45880227480893</v>
      </c>
      <c r="AA77" s="174">
        <f t="shared" si="40"/>
        <v>301.83600000000001</v>
      </c>
    </row>
    <row r="78" spans="1:27" s="118" customFormat="1" ht="9.9499999999999993" customHeight="1" x14ac:dyDescent="0.15">
      <c r="A78" s="144" t="s">
        <v>288</v>
      </c>
      <c r="B78" s="215">
        <v>0.2</v>
      </c>
      <c r="C78" s="145">
        <f>D78/1000</f>
        <v>79.216180671755737</v>
      </c>
      <c r="D78" s="191">
        <f t="shared" si="22"/>
        <v>79216.180671755734</v>
      </c>
      <c r="E78" s="273"/>
      <c r="F78" s="196">
        <f t="shared" si="18"/>
        <v>79.182749999999999</v>
      </c>
      <c r="G78" s="258">
        <f t="shared" si="36"/>
        <v>79182.75</v>
      </c>
      <c r="H78" s="246">
        <f t="shared" si="37"/>
        <v>105577</v>
      </c>
      <c r="I78" s="200">
        <f>L78-105577</f>
        <v>0</v>
      </c>
      <c r="J78" s="230">
        <f>K78</f>
        <v>105.577</v>
      </c>
      <c r="K78" s="43">
        <f t="shared" si="23"/>
        <v>105.577</v>
      </c>
      <c r="L78" s="200">
        <v>105577</v>
      </c>
      <c r="M78" s="196">
        <f t="shared" si="11"/>
        <v>0</v>
      </c>
      <c r="N78" s="33"/>
      <c r="O78" s="43">
        <f t="shared" si="28"/>
        <v>0</v>
      </c>
      <c r="P78" s="251">
        <f t="shared" si="38"/>
        <v>0</v>
      </c>
      <c r="Q78" s="230">
        <f>R78</f>
        <v>0</v>
      </c>
      <c r="R78" s="43">
        <f t="shared" si="42"/>
        <v>0</v>
      </c>
      <c r="S78" s="198"/>
      <c r="T78" s="265"/>
      <c r="U78" s="227">
        <f t="shared" si="9"/>
        <v>79216.180671755734</v>
      </c>
      <c r="V78" s="36">
        <f t="shared" si="41"/>
        <v>79.216180671755737</v>
      </c>
      <c r="W78" s="36">
        <f t="shared" ref="W78:W102" si="43">F78+O78</f>
        <v>79.182749999999999</v>
      </c>
      <c r="X78" s="230">
        <f t="shared" si="30"/>
        <v>105.577</v>
      </c>
      <c r="Y78" s="43">
        <f t="shared" si="30"/>
        <v>105.577</v>
      </c>
      <c r="Z78" s="250">
        <f t="shared" si="39"/>
        <v>26.360819328244261</v>
      </c>
      <c r="AA78" s="174">
        <f t="shared" si="40"/>
        <v>0</v>
      </c>
    </row>
    <row r="79" spans="1:27" s="117" customFormat="1" ht="9.9499999999999993" customHeight="1" x14ac:dyDescent="0.15">
      <c r="A79" s="144" t="s">
        <v>289</v>
      </c>
      <c r="B79" s="215">
        <v>1</v>
      </c>
      <c r="C79" s="145">
        <f t="shared" si="21"/>
        <v>471.02669335877863</v>
      </c>
      <c r="D79" s="191">
        <f t="shared" si="22"/>
        <v>471026.6933587786</v>
      </c>
      <c r="E79" s="274">
        <f>82706.96-7761.17</f>
        <v>74945.790000000008</v>
      </c>
      <c r="F79" s="196">
        <f t="shared" si="18"/>
        <v>448.41224999999997</v>
      </c>
      <c r="G79" s="258">
        <f t="shared" si="36"/>
        <v>448412.25</v>
      </c>
      <c r="H79" s="246">
        <f t="shared" si="37"/>
        <v>527883</v>
      </c>
      <c r="I79" s="200">
        <f>L79-527883</f>
        <v>70000</v>
      </c>
      <c r="J79" s="230">
        <f t="shared" ref="J79" si="44">K79</f>
        <v>597.88300000000004</v>
      </c>
      <c r="K79" s="43">
        <f t="shared" si="23"/>
        <v>597.88300000000004</v>
      </c>
      <c r="L79" s="200">
        <v>597883</v>
      </c>
      <c r="M79" s="196">
        <f t="shared" si="11"/>
        <v>-167.726</v>
      </c>
      <c r="N79" s="36"/>
      <c r="O79" s="43">
        <f t="shared" si="28"/>
        <v>-165</v>
      </c>
      <c r="P79" s="251">
        <f t="shared" si="38"/>
        <v>165000</v>
      </c>
      <c r="Q79" s="230">
        <v>-270</v>
      </c>
      <c r="R79" s="43">
        <f t="shared" si="42"/>
        <v>-220</v>
      </c>
      <c r="S79" s="200">
        <v>220000</v>
      </c>
      <c r="T79" s="266">
        <f>129701+38025</f>
        <v>167726</v>
      </c>
      <c r="U79" s="227">
        <f t="shared" si="9"/>
        <v>396080.90335877863</v>
      </c>
      <c r="V79" s="36">
        <f t="shared" si="41"/>
        <v>303.30069335877863</v>
      </c>
      <c r="W79" s="36">
        <f t="shared" si="43"/>
        <v>283.41224999999997</v>
      </c>
      <c r="X79" s="230">
        <f t="shared" si="30"/>
        <v>327.88300000000004</v>
      </c>
      <c r="Y79" s="43">
        <f t="shared" si="30"/>
        <v>377.88300000000004</v>
      </c>
      <c r="Z79" s="250">
        <f t="shared" si="39"/>
        <v>126.85630664122141</v>
      </c>
      <c r="AA79" s="174">
        <f t="shared" si="40"/>
        <v>102.274</v>
      </c>
    </row>
    <row r="80" spans="1:27" s="117" customFormat="1" ht="9.9499999999999993" customHeight="1" x14ac:dyDescent="0.15">
      <c r="A80" s="144" t="s">
        <v>290</v>
      </c>
      <c r="B80" s="215">
        <v>0.6</v>
      </c>
      <c r="C80" s="145">
        <f t="shared" si="21"/>
        <v>312.1249020152672</v>
      </c>
      <c r="D80" s="191">
        <f t="shared" si="22"/>
        <v>312124.90201526717</v>
      </c>
      <c r="E80" s="274">
        <v>74476.36</v>
      </c>
      <c r="F80" s="196">
        <f t="shared" si="18"/>
        <v>237.54750000000001</v>
      </c>
      <c r="G80" s="258">
        <f t="shared" si="36"/>
        <v>237547.5</v>
      </c>
      <c r="H80" s="246">
        <f t="shared" si="37"/>
        <v>316730</v>
      </c>
      <c r="I80" s="200">
        <f>L80-316730</f>
        <v>0</v>
      </c>
      <c r="J80" s="230">
        <v>400</v>
      </c>
      <c r="K80" s="43">
        <f t="shared" si="23"/>
        <v>316.73</v>
      </c>
      <c r="L80" s="200">
        <v>316730</v>
      </c>
      <c r="M80" s="196">
        <f t="shared" si="11"/>
        <v>0</v>
      </c>
      <c r="N80" s="36"/>
      <c r="O80" s="43">
        <f t="shared" si="28"/>
        <v>-90</v>
      </c>
      <c r="P80" s="251">
        <f t="shared" si="38"/>
        <v>90000</v>
      </c>
      <c r="Q80" s="230">
        <v>-75</v>
      </c>
      <c r="R80" s="43">
        <f t="shared" si="42"/>
        <v>-120</v>
      </c>
      <c r="S80" s="200">
        <v>120000</v>
      </c>
      <c r="T80" s="266"/>
      <c r="U80" s="227">
        <f t="shared" si="9"/>
        <v>237648.54201526716</v>
      </c>
      <c r="V80" s="36">
        <f t="shared" si="41"/>
        <v>312.1249020152672</v>
      </c>
      <c r="W80" s="36">
        <f t="shared" si="43"/>
        <v>147.54750000000001</v>
      </c>
      <c r="X80" s="230">
        <f t="shared" si="30"/>
        <v>325</v>
      </c>
      <c r="Y80" s="43">
        <f t="shared" si="30"/>
        <v>196.73000000000002</v>
      </c>
      <c r="Z80" s="250">
        <f t="shared" si="39"/>
        <v>87.875097984732804</v>
      </c>
      <c r="AA80" s="174">
        <f t="shared" si="40"/>
        <v>75</v>
      </c>
    </row>
    <row r="81" spans="1:27" s="117" customFormat="1" ht="9.9499999999999993" customHeight="1" x14ac:dyDescent="0.15">
      <c r="A81" s="144" t="s">
        <v>291</v>
      </c>
      <c r="B81" s="215">
        <v>0.5</v>
      </c>
      <c r="C81" s="145">
        <f t="shared" si="21"/>
        <v>1130.5744216793892</v>
      </c>
      <c r="D81" s="191">
        <f t="shared" si="22"/>
        <v>1130574.4216793892</v>
      </c>
      <c r="E81" s="274">
        <v>932533.97</v>
      </c>
      <c r="F81" s="196">
        <f t="shared" si="18"/>
        <v>572.95574999999997</v>
      </c>
      <c r="G81" s="258">
        <f t="shared" si="36"/>
        <v>572955.75</v>
      </c>
      <c r="H81" s="246">
        <f t="shared" si="37"/>
        <v>263941</v>
      </c>
      <c r="I81" s="200">
        <f>L81-263941</f>
        <v>500000</v>
      </c>
      <c r="J81" s="230">
        <f>K81+431</f>
        <v>1194.941</v>
      </c>
      <c r="K81" s="43">
        <f t="shared" si="23"/>
        <v>763.94100000000003</v>
      </c>
      <c r="L81" s="200">
        <v>763941</v>
      </c>
      <c r="M81" s="196">
        <f t="shared" si="11"/>
        <v>-1175.4380000000001</v>
      </c>
      <c r="N81" s="36"/>
      <c r="O81" s="43">
        <f t="shared" si="28"/>
        <v>-375</v>
      </c>
      <c r="P81" s="251">
        <f t="shared" si="38"/>
        <v>375000</v>
      </c>
      <c r="Q81" s="230">
        <f>R81-800</f>
        <v>-1300</v>
      </c>
      <c r="R81" s="43">
        <f t="shared" si="42"/>
        <v>-500</v>
      </c>
      <c r="S81" s="200">
        <v>500000</v>
      </c>
      <c r="T81" s="266">
        <v>1175438</v>
      </c>
      <c r="U81" s="227">
        <f t="shared" si="9"/>
        <v>198040.45167938931</v>
      </c>
      <c r="V81" s="36">
        <f t="shared" si="41"/>
        <v>-44.863578320610941</v>
      </c>
      <c r="W81" s="36">
        <f t="shared" si="43"/>
        <v>197.95574999999997</v>
      </c>
      <c r="X81" s="230">
        <f t="shared" si="30"/>
        <v>-105.05899999999997</v>
      </c>
      <c r="Y81" s="43">
        <f t="shared" si="30"/>
        <v>263.94100000000003</v>
      </c>
      <c r="Z81" s="250">
        <f t="shared" si="39"/>
        <v>64.36657832061087</v>
      </c>
      <c r="AA81" s="174">
        <f t="shared" si="40"/>
        <v>124.5619999999999</v>
      </c>
    </row>
    <row r="82" spans="1:27" s="118" customFormat="1" ht="9.9499999999999993" customHeight="1" x14ac:dyDescent="0.15">
      <c r="A82" s="142" t="s">
        <v>292</v>
      </c>
      <c r="B82" s="212">
        <f>SUM(B83:B97)</f>
        <v>4.01</v>
      </c>
      <c r="C82" s="140">
        <f t="shared" si="21"/>
        <v>2495.1697624687022</v>
      </c>
      <c r="D82" s="41">
        <f>E82+U82</f>
        <v>2495169.7624687022</v>
      </c>
      <c r="E82" s="247">
        <f>SUM(E83:E90)</f>
        <v>906885.34</v>
      </c>
      <c r="F82" s="195">
        <f t="shared" ref="F82:F149" si="45">G82/1000</f>
        <v>3093.9832500000002</v>
      </c>
      <c r="G82" s="258">
        <f t="shared" si="36"/>
        <v>3093983.25</v>
      </c>
      <c r="H82" s="246">
        <f t="shared" si="37"/>
        <v>2116811</v>
      </c>
      <c r="I82" s="198">
        <f>SUM(I83:I90)</f>
        <v>2008500</v>
      </c>
      <c r="J82" s="231">
        <f>SUM(J83:J90)</f>
        <v>3593.0040000000008</v>
      </c>
      <c r="K82" s="41">
        <f t="shared" si="23"/>
        <v>4125.3109999999997</v>
      </c>
      <c r="L82" s="198">
        <f>SUM(L83:L97)</f>
        <v>4125311</v>
      </c>
      <c r="M82" s="195">
        <f>T82/1000*-1</f>
        <v>-479.38099999999997</v>
      </c>
      <c r="N82" s="33">
        <f>SUM(N83:N97)</f>
        <v>0</v>
      </c>
      <c r="O82" s="41">
        <f t="shared" si="28"/>
        <v>-1544.25</v>
      </c>
      <c r="P82" s="251">
        <f t="shared" si="38"/>
        <v>1544250</v>
      </c>
      <c r="Q82" s="231">
        <f>SUM(Q83:Q90)</f>
        <v>-1671</v>
      </c>
      <c r="R82" s="41">
        <f t="shared" si="42"/>
        <v>-2059</v>
      </c>
      <c r="S82" s="198">
        <f>SUM(S83:S97)</f>
        <v>2059000</v>
      </c>
      <c r="T82" s="265">
        <f>SUM(T83:T89)</f>
        <v>479381</v>
      </c>
      <c r="U82" s="210">
        <f>SUM(U83:U90)</f>
        <v>1588284.4224687021</v>
      </c>
      <c r="V82" s="33">
        <f t="shared" si="41"/>
        <v>2015.7887624687023</v>
      </c>
      <c r="W82" s="33">
        <f t="shared" si="43"/>
        <v>1549.7332500000002</v>
      </c>
      <c r="X82" s="231">
        <f t="shared" si="30"/>
        <v>1922.0040000000008</v>
      </c>
      <c r="Y82" s="41">
        <f t="shared" si="30"/>
        <v>2066.3109999999997</v>
      </c>
      <c r="Z82" s="250">
        <f t="shared" si="39"/>
        <v>1097.8342375312986</v>
      </c>
      <c r="AA82" s="174">
        <f t="shared" si="40"/>
        <v>1191.6190000000001</v>
      </c>
    </row>
    <row r="83" spans="1:27" s="117" customFormat="1" ht="9.9499999999999993" customHeight="1" x14ac:dyDescent="0.15">
      <c r="A83" s="144" t="s">
        <v>293</v>
      </c>
      <c r="B83" s="215">
        <v>0.81</v>
      </c>
      <c r="C83" s="145">
        <f t="shared" si="21"/>
        <v>404.95373172061068</v>
      </c>
      <c r="D83" s="191">
        <f t="shared" si="22"/>
        <v>404953.7317206107</v>
      </c>
      <c r="E83" s="274">
        <f>80480.44+3647.76</f>
        <v>84128.2</v>
      </c>
      <c r="F83" s="196">
        <f t="shared" si="45"/>
        <v>404.68875000000003</v>
      </c>
      <c r="G83" s="258">
        <f t="shared" si="36"/>
        <v>404688.75</v>
      </c>
      <c r="H83" s="246">
        <f t="shared" si="37"/>
        <v>427585</v>
      </c>
      <c r="I83" s="200">
        <f>L83-427585</f>
        <v>112000</v>
      </c>
      <c r="J83" s="230">
        <f>K83</f>
        <v>539.58500000000004</v>
      </c>
      <c r="K83" s="43">
        <f t="shared" si="23"/>
        <v>539.58500000000004</v>
      </c>
      <c r="L83" s="200">
        <v>539585</v>
      </c>
      <c r="M83" s="196">
        <f>T83/1000*-1</f>
        <v>-152</v>
      </c>
      <c r="N83" s="36"/>
      <c r="O83" s="43">
        <f t="shared" si="28"/>
        <v>-112.5</v>
      </c>
      <c r="P83" s="251">
        <f t="shared" si="38"/>
        <v>112500</v>
      </c>
      <c r="Q83" s="230">
        <f>R83-2</f>
        <v>-152</v>
      </c>
      <c r="R83" s="43">
        <f t="shared" si="42"/>
        <v>-150</v>
      </c>
      <c r="S83" s="200">
        <v>150000</v>
      </c>
      <c r="T83" s="266">
        <f>2000+150000</f>
        <v>152000</v>
      </c>
      <c r="U83" s="227">
        <f t="shared" ref="U83:U149" si="46">$U$8/$B$8*B83</f>
        <v>320825.53172061068</v>
      </c>
      <c r="V83" s="36">
        <f t="shared" si="41"/>
        <v>252.95373172061068</v>
      </c>
      <c r="W83" s="36">
        <f t="shared" si="43"/>
        <v>292.18875000000003</v>
      </c>
      <c r="X83" s="230">
        <f t="shared" si="30"/>
        <v>387.58500000000004</v>
      </c>
      <c r="Y83" s="43">
        <f t="shared" si="30"/>
        <v>389.58500000000004</v>
      </c>
      <c r="Z83" s="250">
        <f t="shared" si="39"/>
        <v>134.63126827938936</v>
      </c>
      <c r="AA83" s="174">
        <f t="shared" si="40"/>
        <v>0</v>
      </c>
    </row>
    <row r="84" spans="1:27" s="117" customFormat="1" ht="9.9499999999999993" customHeight="1" x14ac:dyDescent="0.15">
      <c r="A84" s="144" t="s">
        <v>294</v>
      </c>
      <c r="B84" s="215">
        <v>1</v>
      </c>
      <c r="C84" s="145">
        <f t="shared" si="21"/>
        <v>401.97756335877858</v>
      </c>
      <c r="D84" s="191">
        <f t="shared" si="22"/>
        <v>401977.5633587786</v>
      </c>
      <c r="E84" s="274">
        <v>5896.66</v>
      </c>
      <c r="F84" s="196">
        <f t="shared" si="45"/>
        <v>572.16224999999997</v>
      </c>
      <c r="G84" s="258">
        <f t="shared" si="36"/>
        <v>572162.25</v>
      </c>
      <c r="H84" s="246">
        <f t="shared" si="37"/>
        <v>527883</v>
      </c>
      <c r="I84" s="200">
        <f>L84-527883</f>
        <v>235000</v>
      </c>
      <c r="J84" s="230">
        <f t="shared" ref="J84:J90" si="47">K84</f>
        <v>762.88300000000004</v>
      </c>
      <c r="K84" s="43">
        <f t="shared" si="23"/>
        <v>762.88300000000004</v>
      </c>
      <c r="L84" s="200">
        <v>762883</v>
      </c>
      <c r="M84" s="196">
        <f>T84/1000*-1</f>
        <v>0</v>
      </c>
      <c r="N84" s="36"/>
      <c r="O84" s="43">
        <f t="shared" si="28"/>
        <v>-225</v>
      </c>
      <c r="P84" s="251">
        <f t="shared" si="38"/>
        <v>225000</v>
      </c>
      <c r="Q84" s="230">
        <f t="shared" ref="Q84:Q90" si="48">R84</f>
        <v>-300</v>
      </c>
      <c r="R84" s="43">
        <f t="shared" si="42"/>
        <v>-300</v>
      </c>
      <c r="S84" s="200">
        <v>300000</v>
      </c>
      <c r="T84" s="266"/>
      <c r="U84" s="227">
        <f t="shared" si="46"/>
        <v>396080.90335877863</v>
      </c>
      <c r="V84" s="36">
        <f t="shared" si="41"/>
        <v>401.97756335877858</v>
      </c>
      <c r="W84" s="36">
        <f t="shared" si="43"/>
        <v>347.16224999999997</v>
      </c>
      <c r="X84" s="230">
        <f t="shared" ref="X84:Y102" si="49">J84+Q84</f>
        <v>462.88300000000004</v>
      </c>
      <c r="Y84" s="43">
        <f t="shared" si="49"/>
        <v>462.88300000000004</v>
      </c>
      <c r="Z84" s="250">
        <f t="shared" si="39"/>
        <v>360.90543664122146</v>
      </c>
      <c r="AA84" s="174">
        <f t="shared" si="40"/>
        <v>300</v>
      </c>
    </row>
    <row r="85" spans="1:27" s="117" customFormat="1" ht="9.9499999999999993" customHeight="1" x14ac:dyDescent="0.15">
      <c r="A85" s="144" t="s">
        <v>295</v>
      </c>
      <c r="B85" s="215">
        <v>0.3</v>
      </c>
      <c r="C85" s="145">
        <f t="shared" si="21"/>
        <v>120.45497100763357</v>
      </c>
      <c r="D85" s="191">
        <f t="shared" si="22"/>
        <v>120454.97100763358</v>
      </c>
      <c r="E85" s="274">
        <v>1630.7</v>
      </c>
      <c r="F85" s="196">
        <f t="shared" si="45"/>
        <v>177.27375000000001</v>
      </c>
      <c r="G85" s="258">
        <f t="shared" si="36"/>
        <v>177273.75</v>
      </c>
      <c r="H85" s="246">
        <f t="shared" si="37"/>
        <v>158365</v>
      </c>
      <c r="I85" s="200">
        <f>L85-158365</f>
        <v>78000</v>
      </c>
      <c r="J85" s="230">
        <f t="shared" si="47"/>
        <v>236.36500000000001</v>
      </c>
      <c r="K85" s="43">
        <f t="shared" si="23"/>
        <v>236.36500000000001</v>
      </c>
      <c r="L85" s="200">
        <v>236365</v>
      </c>
      <c r="M85" s="196">
        <f>T85/1000*-1</f>
        <v>0</v>
      </c>
      <c r="N85" s="36"/>
      <c r="O85" s="43">
        <f t="shared" si="28"/>
        <v>-75</v>
      </c>
      <c r="P85" s="251">
        <f t="shared" si="38"/>
        <v>75000</v>
      </c>
      <c r="Q85" s="230">
        <f t="shared" si="48"/>
        <v>-100</v>
      </c>
      <c r="R85" s="43">
        <f t="shared" si="42"/>
        <v>-100</v>
      </c>
      <c r="S85" s="200">
        <v>100000</v>
      </c>
      <c r="T85" s="266">
        <v>0</v>
      </c>
      <c r="U85" s="227">
        <f t="shared" si="46"/>
        <v>118824.27100763358</v>
      </c>
      <c r="V85" s="36">
        <f t="shared" si="41"/>
        <v>120.45497100763357</v>
      </c>
      <c r="W85" s="36">
        <f t="shared" si="43"/>
        <v>102.27375000000001</v>
      </c>
      <c r="X85" s="230">
        <f t="shared" si="49"/>
        <v>136.36500000000001</v>
      </c>
      <c r="Y85" s="43">
        <f t="shared" si="49"/>
        <v>136.36500000000001</v>
      </c>
      <c r="Z85" s="250">
        <f t="shared" si="39"/>
        <v>115.91002899236643</v>
      </c>
      <c r="AA85" s="174">
        <f t="shared" si="40"/>
        <v>100</v>
      </c>
    </row>
    <row r="86" spans="1:27" s="117" customFormat="1" ht="9.9499999999999993" customHeight="1" x14ac:dyDescent="0.15">
      <c r="A86" s="144" t="s">
        <v>296</v>
      </c>
      <c r="B86" s="215">
        <v>0.5</v>
      </c>
      <c r="C86" s="145">
        <f t="shared" si="21"/>
        <v>510.54317167938933</v>
      </c>
      <c r="D86" s="191">
        <f t="shared" si="22"/>
        <v>510543.17167938931</v>
      </c>
      <c r="E86" s="274">
        <v>312502.71999999997</v>
      </c>
      <c r="F86" s="196">
        <f t="shared" si="45"/>
        <v>464.20575000000002</v>
      </c>
      <c r="G86" s="258">
        <f t="shared" si="36"/>
        <v>464205.75</v>
      </c>
      <c r="H86" s="246">
        <f t="shared" si="37"/>
        <v>263941</v>
      </c>
      <c r="I86" s="200">
        <f>L86-263941</f>
        <v>355000</v>
      </c>
      <c r="J86" s="230">
        <f>K86-30</f>
        <v>588.94100000000003</v>
      </c>
      <c r="K86" s="43">
        <f t="shared" si="23"/>
        <v>618.94100000000003</v>
      </c>
      <c r="L86" s="200">
        <v>618941</v>
      </c>
      <c r="M86" s="196">
        <f t="shared" ref="M86:M140" si="50">T86/1000*-1</f>
        <v>-115</v>
      </c>
      <c r="N86" s="36"/>
      <c r="O86" s="43">
        <f t="shared" si="28"/>
        <v>-225</v>
      </c>
      <c r="P86" s="251">
        <f t="shared" si="38"/>
        <v>225000</v>
      </c>
      <c r="Q86" s="230">
        <f>R86+185</f>
        <v>-115</v>
      </c>
      <c r="R86" s="43">
        <f t="shared" si="42"/>
        <v>-300</v>
      </c>
      <c r="S86" s="200">
        <v>300000</v>
      </c>
      <c r="T86" s="266">
        <v>115000</v>
      </c>
      <c r="U86" s="227">
        <f t="shared" si="46"/>
        <v>198040.45167938931</v>
      </c>
      <c r="V86" s="36">
        <f t="shared" si="41"/>
        <v>395.54317167938933</v>
      </c>
      <c r="W86" s="36">
        <f t="shared" si="43"/>
        <v>239.20575000000002</v>
      </c>
      <c r="X86" s="230">
        <f t="shared" si="49"/>
        <v>473.94100000000003</v>
      </c>
      <c r="Y86" s="43">
        <f t="shared" si="49"/>
        <v>318.94100000000003</v>
      </c>
      <c r="Z86" s="250">
        <f t="shared" si="39"/>
        <v>78.397828320610699</v>
      </c>
      <c r="AA86" s="174">
        <f t="shared" si="40"/>
        <v>0</v>
      </c>
    </row>
    <row r="87" spans="1:27" s="117" customFormat="1" ht="9.9499999999999993" customHeight="1" x14ac:dyDescent="0.15">
      <c r="A87" s="144" t="s">
        <v>297</v>
      </c>
      <c r="B87" s="215">
        <v>0.6</v>
      </c>
      <c r="C87" s="145">
        <f t="shared" si="21"/>
        <v>376.58450201526716</v>
      </c>
      <c r="D87" s="191">
        <f t="shared" si="22"/>
        <v>376584.50201526715</v>
      </c>
      <c r="E87" s="274">
        <v>138935.96</v>
      </c>
      <c r="F87" s="196">
        <f t="shared" si="45"/>
        <v>661.29750000000001</v>
      </c>
      <c r="G87" s="258">
        <f t="shared" si="36"/>
        <v>661297.5</v>
      </c>
      <c r="H87" s="246">
        <f t="shared" si="37"/>
        <v>316730</v>
      </c>
      <c r="I87" s="200">
        <f>L87-316730</f>
        <v>565000</v>
      </c>
      <c r="J87" s="230">
        <v>500</v>
      </c>
      <c r="K87" s="43">
        <f t="shared" si="23"/>
        <v>881.73</v>
      </c>
      <c r="L87" s="200">
        <v>881730</v>
      </c>
      <c r="M87" s="196">
        <f t="shared" si="50"/>
        <v>-28</v>
      </c>
      <c r="N87" s="36"/>
      <c r="O87" s="43">
        <f t="shared" si="28"/>
        <v>-375</v>
      </c>
      <c r="P87" s="251">
        <f t="shared" si="38"/>
        <v>375000</v>
      </c>
      <c r="Q87" s="230">
        <v>-445</v>
      </c>
      <c r="R87" s="43">
        <f t="shared" si="42"/>
        <v>-500</v>
      </c>
      <c r="S87" s="200">
        <v>500000</v>
      </c>
      <c r="T87" s="266">
        <v>28000</v>
      </c>
      <c r="U87" s="227">
        <f t="shared" si="46"/>
        <v>237648.54201526716</v>
      </c>
      <c r="V87" s="36">
        <f t="shared" si="41"/>
        <v>348.58450201526716</v>
      </c>
      <c r="W87" s="36">
        <f t="shared" si="43"/>
        <v>286.29750000000001</v>
      </c>
      <c r="X87" s="230">
        <f t="shared" si="49"/>
        <v>55</v>
      </c>
      <c r="Y87" s="43">
        <f t="shared" si="49"/>
        <v>381.73</v>
      </c>
      <c r="Z87" s="250">
        <f t="shared" si="39"/>
        <v>123.41549798473284</v>
      </c>
      <c r="AA87" s="174">
        <f t="shared" si="40"/>
        <v>417</v>
      </c>
    </row>
    <row r="88" spans="1:27" s="117" customFormat="1" ht="9.9499999999999993" customHeight="1" x14ac:dyDescent="0.15">
      <c r="A88" s="144" t="s">
        <v>298</v>
      </c>
      <c r="B88" s="215">
        <v>0.4</v>
      </c>
      <c r="C88" s="145">
        <f t="shared" si="21"/>
        <v>508.84231134351143</v>
      </c>
      <c r="D88" s="191">
        <f t="shared" si="22"/>
        <v>508842.31134351145</v>
      </c>
      <c r="E88" s="274">
        <v>350409.95</v>
      </c>
      <c r="F88" s="196">
        <f t="shared" si="45"/>
        <v>445.98975000000002</v>
      </c>
      <c r="G88" s="258">
        <f t="shared" si="36"/>
        <v>445989.75</v>
      </c>
      <c r="H88" s="246">
        <f t="shared" si="37"/>
        <v>211153</v>
      </c>
      <c r="I88" s="200">
        <f>L88-211153</f>
        <v>383500</v>
      </c>
      <c r="J88" s="230">
        <f t="shared" si="47"/>
        <v>594.65300000000002</v>
      </c>
      <c r="K88" s="43">
        <f t="shared" si="23"/>
        <v>594.65300000000002</v>
      </c>
      <c r="L88" s="200">
        <v>594653</v>
      </c>
      <c r="M88" s="196">
        <f t="shared" si="50"/>
        <v>-184.381</v>
      </c>
      <c r="N88" s="36"/>
      <c r="O88" s="43">
        <f t="shared" si="28"/>
        <v>-288</v>
      </c>
      <c r="P88" s="251">
        <f t="shared" si="38"/>
        <v>288000</v>
      </c>
      <c r="Q88" s="230">
        <f t="shared" si="48"/>
        <v>-384</v>
      </c>
      <c r="R88" s="43">
        <f t="shared" si="42"/>
        <v>-384</v>
      </c>
      <c r="S88" s="200">
        <v>384000</v>
      </c>
      <c r="T88" s="266">
        <v>184381</v>
      </c>
      <c r="U88" s="227">
        <f t="shared" si="46"/>
        <v>158432.36134351147</v>
      </c>
      <c r="V88" s="36">
        <f t="shared" si="41"/>
        <v>324.4613113435114</v>
      </c>
      <c r="W88" s="36">
        <f t="shared" si="43"/>
        <v>157.98975000000002</v>
      </c>
      <c r="X88" s="230">
        <f t="shared" si="49"/>
        <v>210.65300000000002</v>
      </c>
      <c r="Y88" s="43">
        <f t="shared" si="49"/>
        <v>210.65300000000002</v>
      </c>
      <c r="Z88" s="250">
        <f t="shared" si="39"/>
        <v>85.810688656488594</v>
      </c>
      <c r="AA88" s="174">
        <f t="shared" si="40"/>
        <v>199.619</v>
      </c>
    </row>
    <row r="89" spans="1:27" s="117" customFormat="1" ht="9.9499999999999993" customHeight="1" x14ac:dyDescent="0.15">
      <c r="A89" s="144" t="s">
        <v>299</v>
      </c>
      <c r="B89" s="215">
        <v>0.2</v>
      </c>
      <c r="C89" s="145">
        <f t="shared" si="21"/>
        <v>92.597330671755728</v>
      </c>
      <c r="D89" s="191">
        <f t="shared" si="22"/>
        <v>92597.330671755728</v>
      </c>
      <c r="E89" s="274">
        <f>5619.98+7761.17</f>
        <v>13381.15</v>
      </c>
      <c r="F89" s="196">
        <f t="shared" si="45"/>
        <v>191.68275</v>
      </c>
      <c r="G89" s="258">
        <f t="shared" si="36"/>
        <v>191682.75</v>
      </c>
      <c r="H89" s="246">
        <f t="shared" si="37"/>
        <v>105577</v>
      </c>
      <c r="I89" s="200">
        <f>L89-105577</f>
        <v>150000</v>
      </c>
      <c r="J89" s="230">
        <v>135</v>
      </c>
      <c r="K89" s="43">
        <f t="shared" si="23"/>
        <v>255.577</v>
      </c>
      <c r="L89" s="200">
        <v>255577</v>
      </c>
      <c r="M89" s="196">
        <f t="shared" si="50"/>
        <v>0</v>
      </c>
      <c r="N89" s="36"/>
      <c r="O89" s="43">
        <f t="shared" si="28"/>
        <v>-131.25</v>
      </c>
      <c r="P89" s="251">
        <f t="shared" si="38"/>
        <v>131250</v>
      </c>
      <c r="Q89" s="230">
        <v>-25</v>
      </c>
      <c r="R89" s="43">
        <f t="shared" si="42"/>
        <v>-175</v>
      </c>
      <c r="S89" s="200">
        <v>175000</v>
      </c>
      <c r="T89" s="266"/>
      <c r="U89" s="227">
        <f t="shared" si="46"/>
        <v>79216.180671755734</v>
      </c>
      <c r="V89" s="36">
        <f t="shared" si="41"/>
        <v>92.597330671755728</v>
      </c>
      <c r="W89" s="36">
        <f t="shared" si="43"/>
        <v>60.432749999999999</v>
      </c>
      <c r="X89" s="230">
        <f t="shared" si="49"/>
        <v>110</v>
      </c>
      <c r="Y89" s="43">
        <f t="shared" si="49"/>
        <v>80.576999999999998</v>
      </c>
      <c r="Z89" s="250">
        <f t="shared" si="39"/>
        <v>42.402669328244272</v>
      </c>
      <c r="AA89" s="174">
        <f t="shared" si="40"/>
        <v>25</v>
      </c>
    </row>
    <row r="90" spans="1:27" s="117" customFormat="1" ht="9.9499999999999993" customHeight="1" x14ac:dyDescent="0.15">
      <c r="A90" s="144" t="s">
        <v>300</v>
      </c>
      <c r="B90" s="215">
        <v>0.2</v>
      </c>
      <c r="C90" s="145">
        <f t="shared" ref="C90:C102" si="51">D90/1000</f>
        <v>79.216180671755737</v>
      </c>
      <c r="D90" s="191">
        <f t="shared" si="22"/>
        <v>79216.180671755734</v>
      </c>
      <c r="E90" s="274"/>
      <c r="F90" s="196">
        <f t="shared" si="45"/>
        <v>176.68275</v>
      </c>
      <c r="G90" s="258">
        <f t="shared" si="36"/>
        <v>176682.75</v>
      </c>
      <c r="H90" s="246">
        <f t="shared" si="37"/>
        <v>105577</v>
      </c>
      <c r="I90" s="200">
        <f>L90-105577</f>
        <v>130000</v>
      </c>
      <c r="J90" s="230">
        <f t="shared" si="47"/>
        <v>235.577</v>
      </c>
      <c r="K90" s="43">
        <f t="shared" si="23"/>
        <v>235.577</v>
      </c>
      <c r="L90" s="200">
        <v>235577</v>
      </c>
      <c r="M90" s="196">
        <f t="shared" si="50"/>
        <v>0</v>
      </c>
      <c r="N90" s="36"/>
      <c r="O90" s="43">
        <f t="shared" si="28"/>
        <v>-112.5</v>
      </c>
      <c r="P90" s="251">
        <f t="shared" si="38"/>
        <v>112500</v>
      </c>
      <c r="Q90" s="230">
        <f t="shared" si="48"/>
        <v>-150</v>
      </c>
      <c r="R90" s="43">
        <f t="shared" si="42"/>
        <v>-150</v>
      </c>
      <c r="S90" s="200">
        <v>150000</v>
      </c>
      <c r="T90" s="266"/>
      <c r="U90" s="227">
        <f t="shared" si="46"/>
        <v>79216.180671755734</v>
      </c>
      <c r="V90" s="36">
        <f t="shared" si="41"/>
        <v>79.216180671755737</v>
      </c>
      <c r="W90" s="36">
        <f t="shared" si="43"/>
        <v>64.182749999999999</v>
      </c>
      <c r="X90" s="230">
        <f t="shared" si="49"/>
        <v>85.576999999999998</v>
      </c>
      <c r="Y90" s="43">
        <f t="shared" si="49"/>
        <v>85.576999999999998</v>
      </c>
      <c r="Z90" s="250">
        <f t="shared" si="39"/>
        <v>156.36081932824425</v>
      </c>
      <c r="AA90" s="174">
        <f t="shared" si="40"/>
        <v>150</v>
      </c>
    </row>
    <row r="91" spans="1:27" s="117" customFormat="1" ht="9.9499999999999993" hidden="1" customHeight="1" x14ac:dyDescent="0.15">
      <c r="A91" s="144"/>
      <c r="B91" s="215"/>
      <c r="C91" s="145">
        <f t="shared" si="51"/>
        <v>0</v>
      </c>
      <c r="D91" s="41">
        <f t="shared" si="22"/>
        <v>0</v>
      </c>
      <c r="E91" s="274"/>
      <c r="F91" s="195">
        <f t="shared" si="45"/>
        <v>0</v>
      </c>
      <c r="G91" s="258">
        <f t="shared" si="36"/>
        <v>0</v>
      </c>
      <c r="H91" s="246">
        <f t="shared" si="37"/>
        <v>0</v>
      </c>
      <c r="I91" s="200">
        <f t="shared" ref="I91:I140" si="52">L91</f>
        <v>0</v>
      </c>
      <c r="J91" s="230"/>
      <c r="K91" s="41">
        <f t="shared" si="23"/>
        <v>0</v>
      </c>
      <c r="L91" s="200"/>
      <c r="M91" s="195">
        <f t="shared" si="50"/>
        <v>0</v>
      </c>
      <c r="N91" s="36"/>
      <c r="O91" s="43">
        <f t="shared" si="28"/>
        <v>0</v>
      </c>
      <c r="P91" s="251">
        <f t="shared" si="38"/>
        <v>0</v>
      </c>
      <c r="Q91" s="230"/>
      <c r="R91" s="43">
        <f t="shared" si="42"/>
        <v>0</v>
      </c>
      <c r="S91" s="200"/>
      <c r="T91" s="266"/>
      <c r="U91" s="210">
        <f t="shared" si="46"/>
        <v>0</v>
      </c>
      <c r="V91" s="36">
        <f t="shared" si="41"/>
        <v>0</v>
      </c>
      <c r="W91" s="36">
        <f t="shared" si="43"/>
        <v>0</v>
      </c>
      <c r="X91" s="230">
        <f t="shared" si="49"/>
        <v>0</v>
      </c>
      <c r="Y91" s="43">
        <f t="shared" si="49"/>
        <v>0</v>
      </c>
      <c r="Z91" s="250">
        <f t="shared" si="39"/>
        <v>0</v>
      </c>
      <c r="AA91" s="174">
        <f t="shared" si="40"/>
        <v>0</v>
      </c>
    </row>
    <row r="92" spans="1:27" s="117" customFormat="1" ht="9.9499999999999993" hidden="1" customHeight="1" x14ac:dyDescent="0.15">
      <c r="A92" s="144"/>
      <c r="B92" s="215"/>
      <c r="C92" s="145">
        <f t="shared" si="51"/>
        <v>0</v>
      </c>
      <c r="D92" s="41">
        <f t="shared" si="22"/>
        <v>0</v>
      </c>
      <c r="E92" s="274"/>
      <c r="F92" s="195">
        <f t="shared" si="45"/>
        <v>0</v>
      </c>
      <c r="G92" s="258">
        <f t="shared" si="36"/>
        <v>0</v>
      </c>
      <c r="H92" s="246">
        <f t="shared" si="37"/>
        <v>0</v>
      </c>
      <c r="I92" s="200">
        <f t="shared" si="52"/>
        <v>0</v>
      </c>
      <c r="J92" s="230"/>
      <c r="K92" s="41">
        <f t="shared" si="23"/>
        <v>0</v>
      </c>
      <c r="L92" s="200"/>
      <c r="M92" s="195">
        <f t="shared" si="50"/>
        <v>0</v>
      </c>
      <c r="N92" s="36"/>
      <c r="O92" s="43">
        <f t="shared" si="28"/>
        <v>0</v>
      </c>
      <c r="P92" s="251">
        <f t="shared" si="38"/>
        <v>0</v>
      </c>
      <c r="Q92" s="230"/>
      <c r="R92" s="43">
        <f t="shared" si="42"/>
        <v>0</v>
      </c>
      <c r="S92" s="200"/>
      <c r="T92" s="266"/>
      <c r="U92" s="210">
        <f t="shared" si="46"/>
        <v>0</v>
      </c>
      <c r="V92" s="36">
        <f t="shared" si="41"/>
        <v>0</v>
      </c>
      <c r="W92" s="36">
        <f t="shared" si="43"/>
        <v>0</v>
      </c>
      <c r="X92" s="230">
        <f t="shared" si="49"/>
        <v>0</v>
      </c>
      <c r="Y92" s="43">
        <f t="shared" si="49"/>
        <v>0</v>
      </c>
      <c r="Z92" s="250">
        <f t="shared" si="39"/>
        <v>0</v>
      </c>
      <c r="AA92" s="174">
        <f t="shared" si="40"/>
        <v>0</v>
      </c>
    </row>
    <row r="93" spans="1:27" s="117" customFormat="1" ht="9.9499999999999993" hidden="1" customHeight="1" x14ac:dyDescent="0.15">
      <c r="A93" s="144"/>
      <c r="B93" s="215"/>
      <c r="C93" s="145">
        <f t="shared" si="51"/>
        <v>0</v>
      </c>
      <c r="D93" s="41">
        <f t="shared" si="22"/>
        <v>0</v>
      </c>
      <c r="E93" s="274"/>
      <c r="F93" s="195">
        <f t="shared" si="45"/>
        <v>0</v>
      </c>
      <c r="G93" s="258">
        <f t="shared" si="36"/>
        <v>0</v>
      </c>
      <c r="H93" s="246">
        <f t="shared" si="37"/>
        <v>0</v>
      </c>
      <c r="I93" s="200">
        <f t="shared" si="52"/>
        <v>0</v>
      </c>
      <c r="J93" s="230"/>
      <c r="K93" s="41">
        <f t="shared" si="23"/>
        <v>0</v>
      </c>
      <c r="L93" s="200"/>
      <c r="M93" s="195">
        <f t="shared" si="50"/>
        <v>0</v>
      </c>
      <c r="N93" s="36"/>
      <c r="O93" s="43">
        <f t="shared" si="28"/>
        <v>0</v>
      </c>
      <c r="P93" s="251">
        <f t="shared" si="38"/>
        <v>0</v>
      </c>
      <c r="Q93" s="230"/>
      <c r="R93" s="43">
        <f t="shared" si="42"/>
        <v>0</v>
      </c>
      <c r="S93" s="200"/>
      <c r="T93" s="266"/>
      <c r="U93" s="210">
        <f t="shared" si="46"/>
        <v>0</v>
      </c>
      <c r="V93" s="36">
        <f t="shared" si="41"/>
        <v>0</v>
      </c>
      <c r="W93" s="36">
        <f t="shared" si="43"/>
        <v>0</v>
      </c>
      <c r="X93" s="230">
        <f t="shared" si="49"/>
        <v>0</v>
      </c>
      <c r="Y93" s="43">
        <f t="shared" si="49"/>
        <v>0</v>
      </c>
      <c r="Z93" s="250">
        <f t="shared" si="39"/>
        <v>0</v>
      </c>
      <c r="AA93" s="174">
        <f t="shared" si="40"/>
        <v>0</v>
      </c>
    </row>
    <row r="94" spans="1:27" s="117" customFormat="1" ht="9.9499999999999993" hidden="1" customHeight="1" x14ac:dyDescent="0.15">
      <c r="A94" s="144"/>
      <c r="B94" s="215"/>
      <c r="C94" s="145">
        <f t="shared" si="51"/>
        <v>0</v>
      </c>
      <c r="D94" s="41">
        <f t="shared" si="22"/>
        <v>0</v>
      </c>
      <c r="E94" s="274"/>
      <c r="F94" s="195">
        <f t="shared" si="45"/>
        <v>0</v>
      </c>
      <c r="G94" s="258">
        <f t="shared" si="36"/>
        <v>0</v>
      </c>
      <c r="H94" s="246">
        <f t="shared" si="37"/>
        <v>0</v>
      </c>
      <c r="I94" s="200">
        <f t="shared" si="52"/>
        <v>0</v>
      </c>
      <c r="J94" s="230"/>
      <c r="K94" s="41">
        <f t="shared" si="23"/>
        <v>0</v>
      </c>
      <c r="L94" s="200"/>
      <c r="M94" s="195">
        <f t="shared" si="50"/>
        <v>0</v>
      </c>
      <c r="N94" s="36"/>
      <c r="O94" s="43">
        <f t="shared" si="28"/>
        <v>0</v>
      </c>
      <c r="P94" s="251">
        <f t="shared" si="38"/>
        <v>0</v>
      </c>
      <c r="Q94" s="230"/>
      <c r="R94" s="43">
        <f t="shared" si="42"/>
        <v>0</v>
      </c>
      <c r="S94" s="200"/>
      <c r="T94" s="266"/>
      <c r="U94" s="210">
        <f t="shared" si="46"/>
        <v>0</v>
      </c>
      <c r="V94" s="36">
        <f t="shared" si="41"/>
        <v>0</v>
      </c>
      <c r="W94" s="36">
        <f t="shared" si="43"/>
        <v>0</v>
      </c>
      <c r="X94" s="230">
        <f t="shared" si="49"/>
        <v>0</v>
      </c>
      <c r="Y94" s="43">
        <f t="shared" si="49"/>
        <v>0</v>
      </c>
      <c r="Z94" s="250">
        <f t="shared" si="39"/>
        <v>0</v>
      </c>
      <c r="AA94" s="174">
        <f t="shared" si="40"/>
        <v>0</v>
      </c>
    </row>
    <row r="95" spans="1:27" s="117" customFormat="1" ht="9.9499999999999993" hidden="1" customHeight="1" x14ac:dyDescent="0.15">
      <c r="A95" s="144"/>
      <c r="B95" s="215"/>
      <c r="C95" s="145">
        <f t="shared" si="51"/>
        <v>0</v>
      </c>
      <c r="D95" s="41">
        <f t="shared" si="22"/>
        <v>0</v>
      </c>
      <c r="E95" s="274"/>
      <c r="F95" s="195">
        <f t="shared" si="45"/>
        <v>0</v>
      </c>
      <c r="G95" s="258">
        <f t="shared" si="36"/>
        <v>0</v>
      </c>
      <c r="H95" s="246">
        <f t="shared" si="37"/>
        <v>0</v>
      </c>
      <c r="I95" s="200">
        <f t="shared" si="52"/>
        <v>0</v>
      </c>
      <c r="J95" s="230"/>
      <c r="K95" s="41">
        <f t="shared" si="23"/>
        <v>0</v>
      </c>
      <c r="L95" s="200"/>
      <c r="M95" s="195">
        <f t="shared" si="50"/>
        <v>0</v>
      </c>
      <c r="N95" s="36"/>
      <c r="O95" s="43">
        <f t="shared" si="28"/>
        <v>0</v>
      </c>
      <c r="P95" s="251">
        <f t="shared" si="38"/>
        <v>0</v>
      </c>
      <c r="Q95" s="230"/>
      <c r="R95" s="43">
        <f t="shared" si="42"/>
        <v>0</v>
      </c>
      <c r="S95" s="200"/>
      <c r="T95" s="266"/>
      <c r="U95" s="210">
        <f t="shared" si="46"/>
        <v>0</v>
      </c>
      <c r="V95" s="36">
        <f t="shared" si="41"/>
        <v>0</v>
      </c>
      <c r="W95" s="36">
        <f t="shared" si="43"/>
        <v>0</v>
      </c>
      <c r="X95" s="230">
        <f t="shared" si="49"/>
        <v>0</v>
      </c>
      <c r="Y95" s="43">
        <f t="shared" si="49"/>
        <v>0</v>
      </c>
      <c r="Z95" s="250">
        <f t="shared" si="39"/>
        <v>0</v>
      </c>
      <c r="AA95" s="174">
        <f t="shared" si="40"/>
        <v>0</v>
      </c>
    </row>
    <row r="96" spans="1:27" s="117" customFormat="1" ht="9.9499999999999993" hidden="1" customHeight="1" x14ac:dyDescent="0.15">
      <c r="A96" s="144"/>
      <c r="B96" s="215"/>
      <c r="C96" s="145">
        <f t="shared" si="51"/>
        <v>0</v>
      </c>
      <c r="D96" s="41">
        <f t="shared" si="22"/>
        <v>0</v>
      </c>
      <c r="E96" s="274"/>
      <c r="F96" s="195">
        <f t="shared" si="45"/>
        <v>0</v>
      </c>
      <c r="G96" s="258">
        <f t="shared" si="36"/>
        <v>0</v>
      </c>
      <c r="H96" s="246">
        <f t="shared" si="37"/>
        <v>0</v>
      </c>
      <c r="I96" s="200">
        <f t="shared" si="52"/>
        <v>0</v>
      </c>
      <c r="J96" s="230"/>
      <c r="K96" s="41">
        <f t="shared" si="23"/>
        <v>0</v>
      </c>
      <c r="L96" s="200"/>
      <c r="M96" s="195">
        <f t="shared" si="50"/>
        <v>0</v>
      </c>
      <c r="N96" s="36"/>
      <c r="O96" s="43">
        <f t="shared" si="28"/>
        <v>0</v>
      </c>
      <c r="P96" s="251">
        <f t="shared" si="38"/>
        <v>0</v>
      </c>
      <c r="Q96" s="230"/>
      <c r="R96" s="43">
        <f t="shared" si="42"/>
        <v>0</v>
      </c>
      <c r="S96" s="200"/>
      <c r="T96" s="266"/>
      <c r="U96" s="210">
        <f t="shared" si="46"/>
        <v>0</v>
      </c>
      <c r="V96" s="36">
        <f t="shared" si="41"/>
        <v>0</v>
      </c>
      <c r="W96" s="36">
        <f t="shared" si="43"/>
        <v>0</v>
      </c>
      <c r="X96" s="230">
        <f t="shared" si="49"/>
        <v>0</v>
      </c>
      <c r="Y96" s="43">
        <f t="shared" si="49"/>
        <v>0</v>
      </c>
      <c r="Z96" s="250">
        <f t="shared" si="39"/>
        <v>0</v>
      </c>
      <c r="AA96" s="174">
        <f t="shared" si="40"/>
        <v>0</v>
      </c>
    </row>
    <row r="97" spans="1:27" s="117" customFormat="1" ht="9.9499999999999993" hidden="1" customHeight="1" x14ac:dyDescent="0.15">
      <c r="A97" s="144"/>
      <c r="B97" s="215"/>
      <c r="C97" s="145">
        <f t="shared" si="51"/>
        <v>0</v>
      </c>
      <c r="D97" s="41">
        <f t="shared" si="22"/>
        <v>0</v>
      </c>
      <c r="E97" s="274"/>
      <c r="F97" s="195">
        <f t="shared" si="45"/>
        <v>0</v>
      </c>
      <c r="G97" s="258">
        <f t="shared" si="36"/>
        <v>0</v>
      </c>
      <c r="H97" s="246">
        <f t="shared" si="37"/>
        <v>0</v>
      </c>
      <c r="I97" s="200">
        <f t="shared" si="52"/>
        <v>0</v>
      </c>
      <c r="J97" s="230"/>
      <c r="K97" s="41">
        <f t="shared" si="23"/>
        <v>0</v>
      </c>
      <c r="L97" s="200"/>
      <c r="M97" s="195">
        <f t="shared" si="50"/>
        <v>0</v>
      </c>
      <c r="N97" s="36"/>
      <c r="O97" s="43">
        <f t="shared" si="28"/>
        <v>0</v>
      </c>
      <c r="P97" s="251">
        <f t="shared" si="38"/>
        <v>0</v>
      </c>
      <c r="Q97" s="230"/>
      <c r="R97" s="43">
        <f t="shared" si="42"/>
        <v>0</v>
      </c>
      <c r="S97" s="200"/>
      <c r="T97" s="266"/>
      <c r="U97" s="210">
        <f t="shared" si="46"/>
        <v>0</v>
      </c>
      <c r="V97" s="36">
        <f t="shared" si="41"/>
        <v>0</v>
      </c>
      <c r="W97" s="36">
        <f t="shared" si="43"/>
        <v>0</v>
      </c>
      <c r="X97" s="230">
        <f t="shared" si="49"/>
        <v>0</v>
      </c>
      <c r="Y97" s="43">
        <f t="shared" si="49"/>
        <v>0</v>
      </c>
      <c r="Z97" s="250">
        <f t="shared" si="39"/>
        <v>0</v>
      </c>
      <c r="AA97" s="174">
        <f t="shared" si="40"/>
        <v>0</v>
      </c>
    </row>
    <row r="98" spans="1:27" s="118" customFormat="1" ht="9.9499999999999993" customHeight="1" x14ac:dyDescent="0.15">
      <c r="A98" s="142" t="s">
        <v>301</v>
      </c>
      <c r="B98" s="212">
        <f>SUM(B99:B102)</f>
        <v>0.45</v>
      </c>
      <c r="C98" s="140">
        <f t="shared" si="51"/>
        <v>447.61458651145034</v>
      </c>
      <c r="D98" s="41">
        <f t="shared" si="22"/>
        <v>447614.58651145035</v>
      </c>
      <c r="E98" s="247">
        <f>SUM(E99:E102)</f>
        <v>269378.18</v>
      </c>
      <c r="F98" s="195">
        <f t="shared" si="45"/>
        <v>523.16025000000002</v>
      </c>
      <c r="G98" s="258">
        <f t="shared" si="36"/>
        <v>523160.25</v>
      </c>
      <c r="H98" s="246">
        <f t="shared" si="37"/>
        <v>237547</v>
      </c>
      <c r="I98" s="198">
        <f>SUM(I99:I102)</f>
        <v>460000</v>
      </c>
      <c r="J98" s="231">
        <f>SUM(J99:J103)</f>
        <v>715.54700000000003</v>
      </c>
      <c r="K98" s="41">
        <f>L98/1000</f>
        <v>697.54700000000003</v>
      </c>
      <c r="L98" s="198">
        <f>SUM(L99:L103)</f>
        <v>697547</v>
      </c>
      <c r="M98" s="195">
        <f t="shared" si="50"/>
        <v>0</v>
      </c>
      <c r="N98" s="33"/>
      <c r="O98" s="41">
        <f t="shared" si="28"/>
        <v>-37.5</v>
      </c>
      <c r="P98" s="251">
        <f t="shared" si="38"/>
        <v>37500</v>
      </c>
      <c r="Q98" s="231">
        <f>SUM(Q99:Q102)</f>
        <v>0</v>
      </c>
      <c r="R98" s="41">
        <f t="shared" si="42"/>
        <v>-50</v>
      </c>
      <c r="S98" s="198">
        <f>SUM(S99:S103)</f>
        <v>50000</v>
      </c>
      <c r="T98" s="265">
        <f>SUM(T99:T102)</f>
        <v>0</v>
      </c>
      <c r="U98" s="210">
        <f>SUM(U99:U102)</f>
        <v>178236.40651145036</v>
      </c>
      <c r="V98" s="33">
        <f t="shared" si="41"/>
        <v>447.61458651145034</v>
      </c>
      <c r="W98" s="33">
        <f t="shared" si="43"/>
        <v>485.66025000000002</v>
      </c>
      <c r="X98" s="231">
        <f t="shared" si="49"/>
        <v>715.54700000000003</v>
      </c>
      <c r="Y98" s="41">
        <f t="shared" si="49"/>
        <v>647.54700000000003</v>
      </c>
      <c r="Z98" s="250">
        <f t="shared" si="39"/>
        <v>267.93241348854968</v>
      </c>
      <c r="AA98" s="174">
        <f t="shared" si="40"/>
        <v>0</v>
      </c>
    </row>
    <row r="99" spans="1:27" s="117" customFormat="1" ht="9.9499999999999993" customHeight="1" x14ac:dyDescent="0.15">
      <c r="A99" s="144" t="s">
        <v>302</v>
      </c>
      <c r="B99" s="215">
        <v>0.05</v>
      </c>
      <c r="C99" s="145">
        <f t="shared" si="51"/>
        <v>20.558295167938933</v>
      </c>
      <c r="D99" s="191">
        <f>E99+U99</f>
        <v>20558.295167938933</v>
      </c>
      <c r="E99" s="274">
        <f>754.25</f>
        <v>754.25</v>
      </c>
      <c r="F99" s="196">
        <f t="shared" si="45"/>
        <v>19.795500000000001</v>
      </c>
      <c r="G99" s="258">
        <f t="shared" si="36"/>
        <v>19795.5</v>
      </c>
      <c r="H99" s="246">
        <f t="shared" si="37"/>
        <v>26394</v>
      </c>
      <c r="I99" s="200">
        <f>L99-26394</f>
        <v>0</v>
      </c>
      <c r="J99" s="230">
        <f>K99+1</f>
        <v>27.393999999999998</v>
      </c>
      <c r="K99" s="43">
        <f t="shared" si="23"/>
        <v>26.393999999999998</v>
      </c>
      <c r="L99" s="200">
        <v>26394</v>
      </c>
      <c r="M99" s="196">
        <f t="shared" si="50"/>
        <v>0</v>
      </c>
      <c r="N99" s="36"/>
      <c r="O99" s="43">
        <f t="shared" si="28"/>
        <v>0</v>
      </c>
      <c r="P99" s="251">
        <f t="shared" si="38"/>
        <v>0</v>
      </c>
      <c r="Q99" s="230">
        <f>R99</f>
        <v>0</v>
      </c>
      <c r="R99" s="43">
        <f t="shared" si="42"/>
        <v>0</v>
      </c>
      <c r="S99" s="200">
        <v>0</v>
      </c>
      <c r="T99" s="266"/>
      <c r="U99" s="227">
        <f t="shared" si="46"/>
        <v>19804.045167938933</v>
      </c>
      <c r="V99" s="36">
        <f t="shared" si="41"/>
        <v>20.558295167938933</v>
      </c>
      <c r="W99" s="36">
        <f t="shared" si="43"/>
        <v>19.795500000000001</v>
      </c>
      <c r="X99" s="230">
        <f t="shared" si="49"/>
        <v>27.393999999999998</v>
      </c>
      <c r="Y99" s="43">
        <f t="shared" si="49"/>
        <v>26.393999999999998</v>
      </c>
      <c r="Z99" s="250">
        <f t="shared" si="39"/>
        <v>6.8357048320610652</v>
      </c>
      <c r="AA99" s="174">
        <f t="shared" si="40"/>
        <v>0</v>
      </c>
    </row>
    <row r="100" spans="1:27" s="117" customFormat="1" ht="9.9499999999999993" customHeight="1" x14ac:dyDescent="0.15">
      <c r="A100" s="144" t="s">
        <v>303</v>
      </c>
      <c r="B100" s="215">
        <v>0.1</v>
      </c>
      <c r="C100" s="145">
        <f t="shared" si="51"/>
        <v>87.712370335877878</v>
      </c>
      <c r="D100" s="191">
        <f t="shared" ref="D100:D151" si="53">E100+U100</f>
        <v>87712.370335877873</v>
      </c>
      <c r="E100" s="274">
        <v>48104.28</v>
      </c>
      <c r="F100" s="196">
        <f t="shared" si="45"/>
        <v>62.091000000000001</v>
      </c>
      <c r="G100" s="258">
        <f t="shared" si="36"/>
        <v>62091</v>
      </c>
      <c r="H100" s="246">
        <f t="shared" si="37"/>
        <v>52788</v>
      </c>
      <c r="I100" s="200">
        <f>L100-52788</f>
        <v>30000</v>
      </c>
      <c r="J100" s="230">
        <f>K100+17</f>
        <v>99.787999999999997</v>
      </c>
      <c r="K100" s="43">
        <f t="shared" si="23"/>
        <v>82.787999999999997</v>
      </c>
      <c r="L100" s="200">
        <v>82788</v>
      </c>
      <c r="M100" s="196">
        <f t="shared" si="50"/>
        <v>0</v>
      </c>
      <c r="N100" s="36"/>
      <c r="O100" s="43">
        <f t="shared" si="28"/>
        <v>0</v>
      </c>
      <c r="P100" s="251">
        <f t="shared" si="38"/>
        <v>0</v>
      </c>
      <c r="Q100" s="230">
        <f t="shared" ref="Q100:Q102" si="54">R100</f>
        <v>0</v>
      </c>
      <c r="R100" s="43">
        <f t="shared" si="42"/>
        <v>0</v>
      </c>
      <c r="S100" s="200"/>
      <c r="T100" s="266"/>
      <c r="U100" s="227">
        <f t="shared" si="46"/>
        <v>39608.090335877867</v>
      </c>
      <c r="V100" s="36">
        <f t="shared" si="41"/>
        <v>87.712370335877878</v>
      </c>
      <c r="W100" s="36">
        <f t="shared" si="43"/>
        <v>62.091000000000001</v>
      </c>
      <c r="X100" s="230">
        <f t="shared" si="49"/>
        <v>99.787999999999997</v>
      </c>
      <c r="Y100" s="43">
        <f t="shared" si="49"/>
        <v>82.787999999999997</v>
      </c>
      <c r="Z100" s="250">
        <f t="shared" si="39"/>
        <v>12.075629664122118</v>
      </c>
      <c r="AA100" s="174">
        <f t="shared" si="40"/>
        <v>0</v>
      </c>
    </row>
    <row r="101" spans="1:27" s="117" customFormat="1" ht="9.9499999999999993" customHeight="1" x14ac:dyDescent="0.15">
      <c r="A101" s="144" t="s">
        <v>304</v>
      </c>
      <c r="B101" s="215">
        <v>0.3</v>
      </c>
      <c r="C101" s="145">
        <f t="shared" si="51"/>
        <v>339.34392100763358</v>
      </c>
      <c r="D101" s="191">
        <f t="shared" si="53"/>
        <v>339343.92100763356</v>
      </c>
      <c r="E101" s="274">
        <v>220519.65</v>
      </c>
      <c r="F101" s="196">
        <f t="shared" si="45"/>
        <v>441.27375000000001</v>
      </c>
      <c r="G101" s="258">
        <f t="shared" si="36"/>
        <v>441273.75</v>
      </c>
      <c r="H101" s="246">
        <f t="shared" si="37"/>
        <v>158365</v>
      </c>
      <c r="I101" s="200">
        <f>L101-158365</f>
        <v>430000</v>
      </c>
      <c r="J101" s="230">
        <f t="shared" ref="J101" si="55">K101</f>
        <v>588.36500000000001</v>
      </c>
      <c r="K101" s="43">
        <f t="shared" ref="K101:K157" si="56">L101/1000</f>
        <v>588.36500000000001</v>
      </c>
      <c r="L101" s="200">
        <v>588365</v>
      </c>
      <c r="M101" s="196">
        <f t="shared" si="50"/>
        <v>0</v>
      </c>
      <c r="N101" s="36"/>
      <c r="O101" s="43">
        <f t="shared" si="28"/>
        <v>-37.5</v>
      </c>
      <c r="P101" s="251">
        <f>S101/4*3</f>
        <v>37500</v>
      </c>
      <c r="Q101" s="230">
        <v>0</v>
      </c>
      <c r="R101" s="43">
        <f t="shared" si="42"/>
        <v>-50</v>
      </c>
      <c r="S101" s="200">
        <v>50000</v>
      </c>
      <c r="T101" s="266"/>
      <c r="U101" s="227">
        <f t="shared" si="46"/>
        <v>118824.27100763358</v>
      </c>
      <c r="V101" s="36">
        <f t="shared" si="41"/>
        <v>339.34392100763358</v>
      </c>
      <c r="W101" s="36">
        <f t="shared" si="43"/>
        <v>403.77375000000001</v>
      </c>
      <c r="X101" s="230">
        <f t="shared" si="49"/>
        <v>588.36500000000001</v>
      </c>
      <c r="Y101" s="43">
        <f t="shared" si="49"/>
        <v>538.36500000000001</v>
      </c>
      <c r="Z101" s="250">
        <f t="shared" si="39"/>
        <v>249.02107899236643</v>
      </c>
      <c r="AA101" s="174">
        <f t="shared" si="40"/>
        <v>0</v>
      </c>
    </row>
    <row r="102" spans="1:27" s="117" customFormat="1" ht="9.9499999999999993" customHeight="1" x14ac:dyDescent="0.15">
      <c r="A102" s="144" t="s">
        <v>305</v>
      </c>
      <c r="B102" s="215">
        <v>0</v>
      </c>
      <c r="C102" s="145">
        <f t="shared" si="51"/>
        <v>0</v>
      </c>
      <c r="D102" s="191">
        <f t="shared" si="53"/>
        <v>0</v>
      </c>
      <c r="E102" s="274"/>
      <c r="F102" s="196">
        <f t="shared" si="45"/>
        <v>0</v>
      </c>
      <c r="G102" s="258">
        <f t="shared" si="36"/>
        <v>0</v>
      </c>
      <c r="H102" s="246">
        <f t="shared" si="37"/>
        <v>0</v>
      </c>
      <c r="I102" s="200">
        <f t="shared" si="52"/>
        <v>0</v>
      </c>
      <c r="J102" s="230">
        <f>K102</f>
        <v>0</v>
      </c>
      <c r="K102" s="43">
        <f t="shared" si="56"/>
        <v>0</v>
      </c>
      <c r="L102" s="200">
        <v>0</v>
      </c>
      <c r="M102" s="196">
        <f t="shared" si="50"/>
        <v>0</v>
      </c>
      <c r="N102" s="36"/>
      <c r="O102" s="43">
        <f t="shared" si="28"/>
        <v>0</v>
      </c>
      <c r="P102" s="251">
        <f t="shared" ref="P102:P132" si="57">S102/4*3</f>
        <v>0</v>
      </c>
      <c r="Q102" s="230">
        <f t="shared" si="54"/>
        <v>0</v>
      </c>
      <c r="R102" s="43">
        <f t="shared" si="42"/>
        <v>0</v>
      </c>
      <c r="S102" s="200"/>
      <c r="T102" s="266"/>
      <c r="U102" s="227">
        <f t="shared" si="46"/>
        <v>0</v>
      </c>
      <c r="V102" s="36">
        <f t="shared" si="41"/>
        <v>0</v>
      </c>
      <c r="W102" s="36">
        <f t="shared" si="43"/>
        <v>0</v>
      </c>
      <c r="X102" s="230">
        <f t="shared" si="49"/>
        <v>0</v>
      </c>
      <c r="Y102" s="43">
        <f t="shared" si="49"/>
        <v>0</v>
      </c>
      <c r="Z102" s="250">
        <f t="shared" si="39"/>
        <v>0</v>
      </c>
      <c r="AA102" s="174">
        <f t="shared" si="40"/>
        <v>0</v>
      </c>
    </row>
    <row r="103" spans="1:27" s="117" customFormat="1" ht="9" hidden="1" customHeight="1" x14ac:dyDescent="0.15">
      <c r="A103" s="168" t="s">
        <v>83</v>
      </c>
      <c r="B103" s="215"/>
      <c r="C103" s="140"/>
      <c r="D103" s="41">
        <f t="shared" si="53"/>
        <v>0</v>
      </c>
      <c r="E103" s="274"/>
      <c r="F103" s="195">
        <f t="shared" si="45"/>
        <v>0</v>
      </c>
      <c r="G103" s="258">
        <f t="shared" si="36"/>
        <v>0</v>
      </c>
      <c r="H103" s="246">
        <f t="shared" si="37"/>
        <v>0</v>
      </c>
      <c r="I103" s="200">
        <f t="shared" si="52"/>
        <v>0</v>
      </c>
      <c r="J103" s="230"/>
      <c r="K103" s="41">
        <f t="shared" si="56"/>
        <v>0</v>
      </c>
      <c r="L103" s="200"/>
      <c r="M103" s="195">
        <f t="shared" si="50"/>
        <v>0</v>
      </c>
      <c r="N103" s="36"/>
      <c r="O103" s="43">
        <f t="shared" si="28"/>
        <v>0</v>
      </c>
      <c r="P103" s="251">
        <f t="shared" si="57"/>
        <v>0</v>
      </c>
      <c r="Q103" s="230"/>
      <c r="R103" s="43"/>
      <c r="S103" s="200"/>
      <c r="T103" s="266"/>
      <c r="U103" s="210">
        <f t="shared" si="46"/>
        <v>0</v>
      </c>
      <c r="V103" s="36"/>
      <c r="W103" s="36"/>
      <c r="X103" s="230"/>
      <c r="Y103" s="41"/>
      <c r="Z103" s="250">
        <f t="shared" si="39"/>
        <v>0</v>
      </c>
      <c r="AA103" s="174">
        <f t="shared" si="40"/>
        <v>0</v>
      </c>
    </row>
    <row r="104" spans="1:27" s="179" customFormat="1" x14ac:dyDescent="0.15">
      <c r="A104" s="287" t="s">
        <v>83</v>
      </c>
      <c r="B104" s="216">
        <f>B105+B119</f>
        <v>9.85</v>
      </c>
      <c r="C104" s="170">
        <f t="shared" ref="C104:C128" si="58">D104/1000</f>
        <v>7353.3833380839696</v>
      </c>
      <c r="D104" s="41">
        <f t="shared" si="53"/>
        <v>7353383.3380839694</v>
      </c>
      <c r="E104" s="195">
        <f>E105+E119</f>
        <v>3451986.44</v>
      </c>
      <c r="F104" s="191">
        <f t="shared" si="45"/>
        <v>7558.2344999999996</v>
      </c>
      <c r="G104" s="258">
        <f t="shared" si="36"/>
        <v>7558234.5</v>
      </c>
      <c r="H104" s="256">
        <f t="shared" si="37"/>
        <v>5199646</v>
      </c>
      <c r="I104" s="198">
        <f>I105+I119</f>
        <v>4878000</v>
      </c>
      <c r="J104" s="240">
        <f>J105+J119</f>
        <v>10437.292000000001</v>
      </c>
      <c r="K104" s="191">
        <f t="shared" si="56"/>
        <v>10077.646000000001</v>
      </c>
      <c r="L104" s="191">
        <f>L105+L119</f>
        <v>10077646</v>
      </c>
      <c r="M104" s="191">
        <f t="shared" si="50"/>
        <v>-87.694999999999993</v>
      </c>
      <c r="N104" s="171">
        <f>N105+N119</f>
        <v>0</v>
      </c>
      <c r="O104" s="171">
        <f t="shared" si="28"/>
        <v>-103.5</v>
      </c>
      <c r="P104" s="251">
        <f t="shared" si="57"/>
        <v>103500</v>
      </c>
      <c r="Q104" s="191">
        <f>Q105+Q119</f>
        <v>-956</v>
      </c>
      <c r="R104" s="171">
        <f t="shared" ref="R104:R128" si="59">S104/1000*-1</f>
        <v>-138</v>
      </c>
      <c r="S104" s="201">
        <f>S105+S119</f>
        <v>138000</v>
      </c>
      <c r="T104" s="201">
        <f>T105+T119</f>
        <v>87695</v>
      </c>
      <c r="U104" s="210">
        <f t="shared" si="46"/>
        <v>3901396.8980839695</v>
      </c>
      <c r="V104" s="173">
        <f t="shared" ref="V104:V127" si="60">C104+M104</f>
        <v>7265.6883380839699</v>
      </c>
      <c r="W104" s="173">
        <f t="shared" ref="W104:W128" si="61">F104+O104</f>
        <v>7454.7344999999996</v>
      </c>
      <c r="X104" s="198">
        <f t="shared" ref="X104:Y128" si="62">J104+Q104</f>
        <v>9481.2920000000013</v>
      </c>
      <c r="Y104" s="171">
        <f t="shared" si="62"/>
        <v>9939.6460000000006</v>
      </c>
      <c r="Z104" s="250">
        <f t="shared" si="39"/>
        <v>3083.9086619160316</v>
      </c>
      <c r="AA104" s="174">
        <f t="shared" si="40"/>
        <v>868.30500000000006</v>
      </c>
    </row>
    <row r="105" spans="1:27" s="118" customFormat="1" ht="9.9499999999999993" customHeight="1" x14ac:dyDescent="0.15">
      <c r="A105" s="142" t="s">
        <v>321</v>
      </c>
      <c r="B105" s="212">
        <f>SUM(B106:B118)</f>
        <v>6.29</v>
      </c>
      <c r="C105" s="140">
        <f t="shared" si="58"/>
        <v>3856.6531621267181</v>
      </c>
      <c r="D105" s="41">
        <f t="shared" si="53"/>
        <v>3856653.1621267181</v>
      </c>
      <c r="E105" s="247">
        <f>SUM(E106:E113)</f>
        <v>1365304.28</v>
      </c>
      <c r="F105" s="195">
        <f t="shared" si="45"/>
        <v>3300.288</v>
      </c>
      <c r="G105" s="258">
        <f t="shared" si="36"/>
        <v>3300288</v>
      </c>
      <c r="H105" s="246">
        <f t="shared" si="37"/>
        <v>3320384</v>
      </c>
      <c r="I105" s="198">
        <f>SUM(I106:I113)</f>
        <v>1080000</v>
      </c>
      <c r="J105" s="234">
        <f>SUM(J106:J117)</f>
        <v>4881.518</v>
      </c>
      <c r="K105" s="41">
        <f t="shared" si="56"/>
        <v>4400.384</v>
      </c>
      <c r="L105" s="198">
        <f>SUM(L106:L118)</f>
        <v>4400384</v>
      </c>
      <c r="M105" s="195">
        <f t="shared" si="50"/>
        <v>-79.394999999999996</v>
      </c>
      <c r="N105" s="33">
        <f>N111</f>
        <v>0</v>
      </c>
      <c r="O105" s="41">
        <f t="shared" si="28"/>
        <v>-66</v>
      </c>
      <c r="P105" s="251">
        <f t="shared" si="57"/>
        <v>66000</v>
      </c>
      <c r="Q105" s="231">
        <f>SUM(Q106:Q113)</f>
        <v>-898</v>
      </c>
      <c r="R105" s="41">
        <f t="shared" si="59"/>
        <v>-88</v>
      </c>
      <c r="S105" s="198">
        <f>SUM(S106:S113)</f>
        <v>88000</v>
      </c>
      <c r="T105" s="265">
        <f>SUM(T106:T113)</f>
        <v>79395</v>
      </c>
      <c r="U105" s="210">
        <f>SUM(U106:U113)</f>
        <v>2491348.8821267178</v>
      </c>
      <c r="V105" s="33">
        <f t="shared" si="60"/>
        <v>3777.2581621267182</v>
      </c>
      <c r="W105" s="33">
        <f t="shared" si="61"/>
        <v>3234.288</v>
      </c>
      <c r="X105" s="231">
        <f t="shared" si="62"/>
        <v>3983.518</v>
      </c>
      <c r="Y105" s="41">
        <f t="shared" si="62"/>
        <v>4312.384</v>
      </c>
      <c r="Z105" s="250">
        <f t="shared" si="39"/>
        <v>1024.8648378732819</v>
      </c>
      <c r="AA105" s="174">
        <f t="shared" si="40"/>
        <v>818.60500000000002</v>
      </c>
    </row>
    <row r="106" spans="1:27" s="117" customFormat="1" ht="9.9499999999999993" customHeight="1" x14ac:dyDescent="0.15">
      <c r="A106" s="144" t="s">
        <v>307</v>
      </c>
      <c r="B106" s="215">
        <v>3.24</v>
      </c>
      <c r="C106" s="290">
        <f t="shared" si="58"/>
        <v>2271.8788768824429</v>
      </c>
      <c r="D106" s="191">
        <f t="shared" si="53"/>
        <v>2271878.8768824427</v>
      </c>
      <c r="E106" s="274">
        <f>38093.79+949894.96+588</f>
        <v>988576.75</v>
      </c>
      <c r="F106" s="196">
        <f t="shared" si="45"/>
        <v>1432.7550000000001</v>
      </c>
      <c r="G106" s="258">
        <f t="shared" si="36"/>
        <v>1432755</v>
      </c>
      <c r="H106" s="246">
        <f t="shared" si="37"/>
        <v>1710340</v>
      </c>
      <c r="I106" s="200">
        <f>L106-1710340</f>
        <v>200000</v>
      </c>
      <c r="J106" s="230">
        <v>2620</v>
      </c>
      <c r="K106" s="43">
        <f t="shared" si="56"/>
        <v>1910.34</v>
      </c>
      <c r="L106" s="200">
        <v>1910340</v>
      </c>
      <c r="M106" s="196">
        <f t="shared" si="50"/>
        <v>-79.394999999999996</v>
      </c>
      <c r="N106" s="36"/>
      <c r="O106" s="43">
        <f t="shared" si="28"/>
        <v>0</v>
      </c>
      <c r="P106" s="251">
        <f t="shared" si="57"/>
        <v>0</v>
      </c>
      <c r="Q106" s="230">
        <v>-810</v>
      </c>
      <c r="R106" s="43">
        <f t="shared" si="59"/>
        <v>0</v>
      </c>
      <c r="S106" s="200"/>
      <c r="T106" s="266">
        <f>79395</f>
        <v>79395</v>
      </c>
      <c r="U106" s="227">
        <f t="shared" si="46"/>
        <v>1283302.1268824427</v>
      </c>
      <c r="V106" s="36">
        <f t="shared" si="60"/>
        <v>2192.4838768824429</v>
      </c>
      <c r="W106" s="36">
        <f t="shared" si="61"/>
        <v>1432.7550000000001</v>
      </c>
      <c r="X106" s="230">
        <f t="shared" si="62"/>
        <v>1810</v>
      </c>
      <c r="Y106" s="43">
        <f t="shared" si="62"/>
        <v>1910.34</v>
      </c>
      <c r="Z106" s="250">
        <f t="shared" si="39"/>
        <v>348.12112311755709</v>
      </c>
      <c r="AA106" s="174">
        <f t="shared" si="40"/>
        <v>730.60500000000002</v>
      </c>
    </row>
    <row r="107" spans="1:27" s="117" customFormat="1" ht="9.9499999999999993" hidden="1" customHeight="1" x14ac:dyDescent="0.15">
      <c r="A107" s="144" t="s">
        <v>202</v>
      </c>
      <c r="B107" s="215"/>
      <c r="C107" s="145">
        <f t="shared" si="58"/>
        <v>0</v>
      </c>
      <c r="D107" s="191">
        <f t="shared" si="53"/>
        <v>0</v>
      </c>
      <c r="E107" s="274"/>
      <c r="F107" s="196">
        <f t="shared" si="45"/>
        <v>0</v>
      </c>
      <c r="G107" s="258">
        <f t="shared" si="36"/>
        <v>0</v>
      </c>
      <c r="H107" s="246">
        <f t="shared" si="37"/>
        <v>0</v>
      </c>
      <c r="I107" s="200">
        <f t="shared" si="52"/>
        <v>0</v>
      </c>
      <c r="J107" s="230">
        <f t="shared" ref="J107:J108" si="63">K107</f>
        <v>0</v>
      </c>
      <c r="K107" s="43">
        <f t="shared" si="56"/>
        <v>0</v>
      </c>
      <c r="L107" s="200"/>
      <c r="M107" s="196">
        <f t="shared" si="50"/>
        <v>0</v>
      </c>
      <c r="N107" s="36"/>
      <c r="O107" s="43">
        <f t="shared" si="28"/>
        <v>0</v>
      </c>
      <c r="P107" s="251">
        <f t="shared" si="57"/>
        <v>0</v>
      </c>
      <c r="Q107" s="230">
        <f t="shared" ref="Q107:Q113" si="64">R107</f>
        <v>0</v>
      </c>
      <c r="R107" s="43">
        <f t="shared" si="59"/>
        <v>0</v>
      </c>
      <c r="S107" s="200"/>
      <c r="T107" s="266"/>
      <c r="U107" s="227">
        <f t="shared" si="46"/>
        <v>0</v>
      </c>
      <c r="V107" s="36">
        <f t="shared" si="60"/>
        <v>0</v>
      </c>
      <c r="W107" s="36">
        <f t="shared" si="61"/>
        <v>0</v>
      </c>
      <c r="X107" s="230">
        <f t="shared" si="62"/>
        <v>0</v>
      </c>
      <c r="Y107" s="43">
        <f t="shared" si="62"/>
        <v>0</v>
      </c>
      <c r="Z107" s="250">
        <f t="shared" si="39"/>
        <v>0</v>
      </c>
      <c r="AA107" s="174">
        <f t="shared" si="40"/>
        <v>0</v>
      </c>
    </row>
    <row r="108" spans="1:27" s="117" customFormat="1" ht="9.9499999999999993" customHeight="1" x14ac:dyDescent="0.15">
      <c r="A108" s="144" t="s">
        <v>308</v>
      </c>
      <c r="B108" s="215">
        <v>0.4</v>
      </c>
      <c r="C108" s="145">
        <f t="shared" si="58"/>
        <v>158.65496134351147</v>
      </c>
      <c r="D108" s="191">
        <f t="shared" si="53"/>
        <v>158654.96134351147</v>
      </c>
      <c r="E108" s="274">
        <f>222.6</f>
        <v>222.6</v>
      </c>
      <c r="F108" s="196">
        <f t="shared" si="45"/>
        <v>158.36474999999999</v>
      </c>
      <c r="G108" s="258">
        <f t="shared" si="36"/>
        <v>158364.75</v>
      </c>
      <c r="H108" s="246">
        <f t="shared" si="37"/>
        <v>211153</v>
      </c>
      <c r="I108" s="200">
        <f>L108-211153</f>
        <v>0</v>
      </c>
      <c r="J108" s="230">
        <f t="shared" si="63"/>
        <v>211.15299999999999</v>
      </c>
      <c r="K108" s="43">
        <f t="shared" si="56"/>
        <v>211.15299999999999</v>
      </c>
      <c r="L108" s="200">
        <v>211153</v>
      </c>
      <c r="M108" s="196">
        <f t="shared" si="50"/>
        <v>0</v>
      </c>
      <c r="N108" s="36"/>
      <c r="O108" s="43">
        <f t="shared" si="28"/>
        <v>0</v>
      </c>
      <c r="P108" s="251">
        <f t="shared" si="57"/>
        <v>0</v>
      </c>
      <c r="Q108" s="230">
        <f t="shared" si="64"/>
        <v>0</v>
      </c>
      <c r="R108" s="43">
        <f t="shared" si="59"/>
        <v>0</v>
      </c>
      <c r="S108" s="200"/>
      <c r="T108" s="266"/>
      <c r="U108" s="227">
        <f t="shared" si="46"/>
        <v>158432.36134351147</v>
      </c>
      <c r="V108" s="36">
        <f t="shared" si="60"/>
        <v>158.65496134351147</v>
      </c>
      <c r="W108" s="36">
        <f t="shared" si="61"/>
        <v>158.36474999999999</v>
      </c>
      <c r="X108" s="230">
        <f t="shared" si="62"/>
        <v>211.15299999999999</v>
      </c>
      <c r="Y108" s="43">
        <f t="shared" si="62"/>
        <v>211.15299999999999</v>
      </c>
      <c r="Z108" s="250">
        <f t="shared" si="39"/>
        <v>52.498038656488518</v>
      </c>
      <c r="AA108" s="174">
        <f t="shared" si="40"/>
        <v>0</v>
      </c>
    </row>
    <row r="109" spans="1:27" s="117" customFormat="1" ht="9.9499999999999993" customHeight="1" x14ac:dyDescent="0.15">
      <c r="A109" s="144" t="s">
        <v>309</v>
      </c>
      <c r="B109" s="215">
        <v>1.3</v>
      </c>
      <c r="C109" s="145">
        <f t="shared" si="58"/>
        <v>696.46859436641228</v>
      </c>
      <c r="D109" s="191">
        <f t="shared" si="53"/>
        <v>696468.59436641226</v>
      </c>
      <c r="E109" s="274">
        <f>758.98+180804.44</f>
        <v>181563.42</v>
      </c>
      <c r="F109" s="196">
        <f t="shared" si="45"/>
        <v>814.68600000000004</v>
      </c>
      <c r="G109" s="258">
        <f t="shared" si="36"/>
        <v>814686</v>
      </c>
      <c r="H109" s="246">
        <f t="shared" si="37"/>
        <v>686248</v>
      </c>
      <c r="I109" s="200">
        <f>L109-686248</f>
        <v>400000</v>
      </c>
      <c r="J109" s="230">
        <v>1000</v>
      </c>
      <c r="K109" s="43">
        <f t="shared" si="56"/>
        <v>1086.248</v>
      </c>
      <c r="L109" s="200">
        <v>1086248</v>
      </c>
      <c r="M109" s="196">
        <f t="shared" si="50"/>
        <v>0</v>
      </c>
      <c r="N109" s="36"/>
      <c r="O109" s="43">
        <f t="shared" si="28"/>
        <v>-66</v>
      </c>
      <c r="P109" s="251">
        <f t="shared" si="57"/>
        <v>66000</v>
      </c>
      <c r="Q109" s="230">
        <f t="shared" si="64"/>
        <v>-88</v>
      </c>
      <c r="R109" s="43">
        <f t="shared" si="59"/>
        <v>-88</v>
      </c>
      <c r="S109" s="200">
        <v>88000</v>
      </c>
      <c r="T109" s="266"/>
      <c r="U109" s="227">
        <f t="shared" si="46"/>
        <v>514905.17436641222</v>
      </c>
      <c r="V109" s="36">
        <f t="shared" si="60"/>
        <v>696.46859436641228</v>
      </c>
      <c r="W109" s="36">
        <f t="shared" si="61"/>
        <v>748.68600000000004</v>
      </c>
      <c r="X109" s="230">
        <f t="shared" si="62"/>
        <v>912</v>
      </c>
      <c r="Y109" s="43">
        <f t="shared" si="62"/>
        <v>998.24800000000005</v>
      </c>
      <c r="Z109" s="250">
        <f t="shared" si="39"/>
        <v>303.53140563358772</v>
      </c>
      <c r="AA109" s="174">
        <f t="shared" si="40"/>
        <v>88</v>
      </c>
    </row>
    <row r="110" spans="1:27" s="117" customFormat="1" ht="9.9499999999999993" customHeight="1" x14ac:dyDescent="0.15">
      <c r="A110" s="144" t="s">
        <v>310</v>
      </c>
      <c r="B110" s="215">
        <v>0.55000000000000004</v>
      </c>
      <c r="C110" s="145">
        <f t="shared" si="58"/>
        <v>403.47757684732824</v>
      </c>
      <c r="D110" s="191">
        <f t="shared" si="53"/>
        <v>403477.57684732822</v>
      </c>
      <c r="E110" s="274">
        <v>185633.08</v>
      </c>
      <c r="F110" s="196">
        <f t="shared" si="45"/>
        <v>536.50199999999995</v>
      </c>
      <c r="G110" s="258">
        <f t="shared" si="36"/>
        <v>536502</v>
      </c>
      <c r="H110" s="246">
        <f t="shared" si="37"/>
        <v>290336</v>
      </c>
      <c r="I110" s="200">
        <f>L110-290336</f>
        <v>425000</v>
      </c>
      <c r="J110" s="230">
        <v>585</v>
      </c>
      <c r="K110" s="43">
        <f t="shared" si="56"/>
        <v>715.33600000000001</v>
      </c>
      <c r="L110" s="200">
        <v>715336</v>
      </c>
      <c r="M110" s="196">
        <f t="shared" si="50"/>
        <v>0</v>
      </c>
      <c r="N110" s="36"/>
      <c r="O110" s="43">
        <f t="shared" si="28"/>
        <v>0</v>
      </c>
      <c r="P110" s="251">
        <f t="shared" si="57"/>
        <v>0</v>
      </c>
      <c r="Q110" s="230">
        <f t="shared" si="64"/>
        <v>0</v>
      </c>
      <c r="R110" s="43">
        <f t="shared" si="59"/>
        <v>0</v>
      </c>
      <c r="S110" s="200"/>
      <c r="T110" s="266"/>
      <c r="U110" s="227">
        <f t="shared" si="46"/>
        <v>217844.49684732826</v>
      </c>
      <c r="V110" s="36">
        <f t="shared" si="60"/>
        <v>403.47757684732824</v>
      </c>
      <c r="W110" s="36">
        <f t="shared" si="61"/>
        <v>536.50199999999995</v>
      </c>
      <c r="X110" s="230">
        <f t="shared" si="62"/>
        <v>585</v>
      </c>
      <c r="Y110" s="43">
        <f t="shared" si="62"/>
        <v>715.33600000000001</v>
      </c>
      <c r="Z110" s="250">
        <f t="shared" si="39"/>
        <v>181.52242315267176</v>
      </c>
      <c r="AA110" s="174">
        <f t="shared" si="40"/>
        <v>0</v>
      </c>
    </row>
    <row r="111" spans="1:27" s="117" customFormat="1" ht="9.9499999999999993" customHeight="1" x14ac:dyDescent="0.15">
      <c r="A111" s="144" t="s">
        <v>311</v>
      </c>
      <c r="B111" s="215">
        <v>0.3</v>
      </c>
      <c r="C111" s="145">
        <f t="shared" si="58"/>
        <v>128.13270100763359</v>
      </c>
      <c r="D111" s="191">
        <f t="shared" si="53"/>
        <v>128132.70100763359</v>
      </c>
      <c r="E111" s="274">
        <v>9308.43</v>
      </c>
      <c r="F111" s="196">
        <f t="shared" si="45"/>
        <v>148.77375000000001</v>
      </c>
      <c r="G111" s="258">
        <f t="shared" si="36"/>
        <v>148773.75</v>
      </c>
      <c r="H111" s="246">
        <f t="shared" si="37"/>
        <v>158365</v>
      </c>
      <c r="I111" s="200">
        <f>L111-158365</f>
        <v>40000</v>
      </c>
      <c r="J111" s="230">
        <v>185</v>
      </c>
      <c r="K111" s="43">
        <f t="shared" si="56"/>
        <v>198.36500000000001</v>
      </c>
      <c r="L111" s="200">
        <v>198365</v>
      </c>
      <c r="M111" s="196">
        <f t="shared" si="50"/>
        <v>0</v>
      </c>
      <c r="N111" s="36"/>
      <c r="O111" s="43">
        <f t="shared" ref="O111:O128" si="65">P111/1000*-1</f>
        <v>0</v>
      </c>
      <c r="P111" s="251">
        <f t="shared" si="57"/>
        <v>0</v>
      </c>
      <c r="Q111" s="230">
        <f t="shared" si="64"/>
        <v>0</v>
      </c>
      <c r="R111" s="43">
        <f t="shared" si="59"/>
        <v>0</v>
      </c>
      <c r="S111" s="200"/>
      <c r="T111" s="266"/>
      <c r="U111" s="227">
        <f t="shared" si="46"/>
        <v>118824.27100763358</v>
      </c>
      <c r="V111" s="36">
        <f t="shared" si="60"/>
        <v>128.13270100763359</v>
      </c>
      <c r="W111" s="36">
        <f t="shared" si="61"/>
        <v>148.77375000000001</v>
      </c>
      <c r="X111" s="230">
        <f t="shared" si="62"/>
        <v>185</v>
      </c>
      <c r="Y111" s="43">
        <f t="shared" si="62"/>
        <v>198.36500000000001</v>
      </c>
      <c r="Z111" s="250">
        <f t="shared" si="39"/>
        <v>56.867298992366415</v>
      </c>
      <c r="AA111" s="174">
        <f t="shared" si="40"/>
        <v>0</v>
      </c>
    </row>
    <row r="112" spans="1:27" s="117" customFormat="1" ht="9.9499999999999993" customHeight="1" x14ac:dyDescent="0.15">
      <c r="A112" s="144" t="s">
        <v>312</v>
      </c>
      <c r="B112" s="215">
        <v>0.3</v>
      </c>
      <c r="C112" s="145">
        <f t="shared" si="58"/>
        <v>118.82427100763358</v>
      </c>
      <c r="D112" s="191">
        <f t="shared" si="53"/>
        <v>118824.27100763358</v>
      </c>
      <c r="E112" s="274"/>
      <c r="F112" s="196">
        <f t="shared" si="45"/>
        <v>118.77375000000001</v>
      </c>
      <c r="G112" s="258">
        <f t="shared" si="36"/>
        <v>118773.75</v>
      </c>
      <c r="H112" s="246">
        <f t="shared" si="37"/>
        <v>158365</v>
      </c>
      <c r="I112" s="200">
        <f>L112-158365</f>
        <v>0</v>
      </c>
      <c r="J112" s="230">
        <f>K112+2</f>
        <v>160.36500000000001</v>
      </c>
      <c r="K112" s="43">
        <f t="shared" si="56"/>
        <v>158.36500000000001</v>
      </c>
      <c r="L112" s="200">
        <v>158365</v>
      </c>
      <c r="M112" s="196">
        <f t="shared" si="50"/>
        <v>0</v>
      </c>
      <c r="N112" s="36"/>
      <c r="O112" s="43">
        <f t="shared" si="65"/>
        <v>0</v>
      </c>
      <c r="P112" s="251">
        <f t="shared" si="57"/>
        <v>0</v>
      </c>
      <c r="Q112" s="230">
        <f t="shared" si="64"/>
        <v>0</v>
      </c>
      <c r="R112" s="43">
        <f t="shared" si="59"/>
        <v>0</v>
      </c>
      <c r="S112" s="200"/>
      <c r="T112" s="266"/>
      <c r="U112" s="227">
        <f t="shared" si="46"/>
        <v>118824.27100763358</v>
      </c>
      <c r="V112" s="36">
        <f t="shared" si="60"/>
        <v>118.82427100763358</v>
      </c>
      <c r="W112" s="36">
        <f t="shared" si="61"/>
        <v>118.77375000000001</v>
      </c>
      <c r="X112" s="230">
        <f t="shared" si="62"/>
        <v>160.36500000000001</v>
      </c>
      <c r="Y112" s="43">
        <f t="shared" si="62"/>
        <v>158.36500000000001</v>
      </c>
      <c r="Z112" s="250">
        <f t="shared" si="39"/>
        <v>41.540728992366425</v>
      </c>
      <c r="AA112" s="174">
        <f t="shared" si="40"/>
        <v>0</v>
      </c>
    </row>
    <row r="113" spans="1:27" s="117" customFormat="1" ht="9.9499999999999993" customHeight="1" x14ac:dyDescent="0.15">
      <c r="A113" s="144" t="s">
        <v>313</v>
      </c>
      <c r="B113" s="215">
        <v>0.2</v>
      </c>
      <c r="C113" s="145">
        <f t="shared" si="58"/>
        <v>79.216180671755737</v>
      </c>
      <c r="D113" s="191">
        <f t="shared" si="53"/>
        <v>79216.180671755734</v>
      </c>
      <c r="E113" s="274"/>
      <c r="F113" s="196">
        <f t="shared" si="45"/>
        <v>90.432749999999999</v>
      </c>
      <c r="G113" s="258">
        <f t="shared" si="36"/>
        <v>90432.75</v>
      </c>
      <c r="H113" s="246">
        <f t="shared" si="37"/>
        <v>105577</v>
      </c>
      <c r="I113" s="200">
        <f>L113-105577</f>
        <v>15000</v>
      </c>
      <c r="J113" s="230">
        <v>120</v>
      </c>
      <c r="K113" s="43">
        <f t="shared" si="56"/>
        <v>120.577</v>
      </c>
      <c r="L113" s="200">
        <v>120577</v>
      </c>
      <c r="M113" s="196">
        <f t="shared" si="50"/>
        <v>0</v>
      </c>
      <c r="N113" s="36"/>
      <c r="O113" s="43">
        <f t="shared" si="65"/>
        <v>0</v>
      </c>
      <c r="P113" s="251">
        <f t="shared" si="57"/>
        <v>0</v>
      </c>
      <c r="Q113" s="230">
        <f t="shared" si="64"/>
        <v>0</v>
      </c>
      <c r="R113" s="43">
        <f t="shared" si="59"/>
        <v>0</v>
      </c>
      <c r="S113" s="200"/>
      <c r="T113" s="266"/>
      <c r="U113" s="227">
        <f t="shared" si="46"/>
        <v>79216.180671755734</v>
      </c>
      <c r="V113" s="36">
        <f t="shared" si="60"/>
        <v>79.216180671755737</v>
      </c>
      <c r="W113" s="36">
        <f t="shared" si="61"/>
        <v>90.432749999999999</v>
      </c>
      <c r="X113" s="230">
        <f t="shared" si="62"/>
        <v>120</v>
      </c>
      <c r="Y113" s="43">
        <f t="shared" si="62"/>
        <v>120.577</v>
      </c>
      <c r="Z113" s="250">
        <f t="shared" si="39"/>
        <v>40.783819328244263</v>
      </c>
      <c r="AA113" s="174">
        <f t="shared" si="40"/>
        <v>0</v>
      </c>
    </row>
    <row r="114" spans="1:27" s="117" customFormat="1" ht="9.9499999999999993" hidden="1" customHeight="1" x14ac:dyDescent="0.15">
      <c r="A114" s="144">
        <v>0</v>
      </c>
      <c r="B114" s="215">
        <v>0</v>
      </c>
      <c r="C114" s="145">
        <f t="shared" si="58"/>
        <v>0</v>
      </c>
      <c r="D114" s="41">
        <f t="shared" si="53"/>
        <v>0</v>
      </c>
      <c r="E114" s="274"/>
      <c r="F114" s="196">
        <f t="shared" si="45"/>
        <v>0</v>
      </c>
      <c r="G114" s="258">
        <f t="shared" si="36"/>
        <v>0</v>
      </c>
      <c r="H114" s="246">
        <f t="shared" si="37"/>
        <v>0</v>
      </c>
      <c r="I114" s="200">
        <f t="shared" si="52"/>
        <v>0</v>
      </c>
      <c r="J114" s="230"/>
      <c r="K114" s="43">
        <f t="shared" si="56"/>
        <v>0</v>
      </c>
      <c r="L114" s="200"/>
      <c r="M114" s="196">
        <f t="shared" si="50"/>
        <v>0</v>
      </c>
      <c r="N114" s="36"/>
      <c r="O114" s="43">
        <f t="shared" si="65"/>
        <v>0</v>
      </c>
      <c r="P114" s="251">
        <f t="shared" si="57"/>
        <v>0</v>
      </c>
      <c r="Q114" s="230">
        <v>0</v>
      </c>
      <c r="R114" s="43">
        <f t="shared" si="59"/>
        <v>0</v>
      </c>
      <c r="S114" s="200"/>
      <c r="T114" s="266"/>
      <c r="U114" s="210">
        <f t="shared" si="46"/>
        <v>0</v>
      </c>
      <c r="V114" s="36">
        <f t="shared" si="60"/>
        <v>0</v>
      </c>
      <c r="W114" s="36">
        <f t="shared" si="61"/>
        <v>0</v>
      </c>
      <c r="X114" s="230">
        <f t="shared" si="62"/>
        <v>0</v>
      </c>
      <c r="Y114" s="43">
        <f t="shared" si="62"/>
        <v>0</v>
      </c>
      <c r="Z114" s="250">
        <f t="shared" si="39"/>
        <v>0</v>
      </c>
      <c r="AA114" s="174">
        <f t="shared" si="40"/>
        <v>0</v>
      </c>
    </row>
    <row r="115" spans="1:27" s="117" customFormat="1" ht="9.9499999999999993" hidden="1" customHeight="1" x14ac:dyDescent="0.15">
      <c r="A115" s="144">
        <v>0</v>
      </c>
      <c r="B115" s="215">
        <v>0</v>
      </c>
      <c r="C115" s="145">
        <f t="shared" si="58"/>
        <v>0</v>
      </c>
      <c r="D115" s="41">
        <f t="shared" si="53"/>
        <v>0</v>
      </c>
      <c r="E115" s="274"/>
      <c r="F115" s="196"/>
      <c r="G115" s="258">
        <f t="shared" si="36"/>
        <v>0</v>
      </c>
      <c r="H115" s="246">
        <f t="shared" si="37"/>
        <v>0</v>
      </c>
      <c r="I115" s="200">
        <f t="shared" si="52"/>
        <v>0</v>
      </c>
      <c r="J115" s="230"/>
      <c r="K115" s="43"/>
      <c r="L115" s="200"/>
      <c r="M115" s="196"/>
      <c r="N115" s="36"/>
      <c r="O115" s="43"/>
      <c r="P115" s="251">
        <f t="shared" si="57"/>
        <v>0</v>
      </c>
      <c r="Q115" s="230"/>
      <c r="R115" s="43"/>
      <c r="S115" s="200"/>
      <c r="T115" s="266"/>
      <c r="U115" s="210">
        <f t="shared" si="46"/>
        <v>0</v>
      </c>
      <c r="V115" s="36"/>
      <c r="W115" s="36"/>
      <c r="X115" s="230"/>
      <c r="Y115" s="43"/>
      <c r="Z115" s="250">
        <f t="shared" si="39"/>
        <v>0</v>
      </c>
      <c r="AA115" s="174">
        <f t="shared" si="40"/>
        <v>0</v>
      </c>
    </row>
    <row r="116" spans="1:27" s="117" customFormat="1" ht="9.9499999999999993" hidden="1" customHeight="1" x14ac:dyDescent="0.15">
      <c r="A116" s="144">
        <v>0</v>
      </c>
      <c r="B116" s="215">
        <v>0</v>
      </c>
      <c r="C116" s="145">
        <f t="shared" si="58"/>
        <v>0</v>
      </c>
      <c r="D116" s="41">
        <f t="shared" si="53"/>
        <v>0</v>
      </c>
      <c r="E116" s="274"/>
      <c r="F116" s="196">
        <f t="shared" si="45"/>
        <v>0</v>
      </c>
      <c r="G116" s="258">
        <f t="shared" si="36"/>
        <v>0</v>
      </c>
      <c r="H116" s="246">
        <f t="shared" si="37"/>
        <v>0</v>
      </c>
      <c r="I116" s="200">
        <f t="shared" si="52"/>
        <v>0</v>
      </c>
      <c r="J116" s="230"/>
      <c r="K116" s="43">
        <f t="shared" si="56"/>
        <v>0</v>
      </c>
      <c r="L116" s="200"/>
      <c r="M116" s="196">
        <f t="shared" si="50"/>
        <v>0</v>
      </c>
      <c r="N116" s="36"/>
      <c r="O116" s="43">
        <f t="shared" si="65"/>
        <v>0</v>
      </c>
      <c r="P116" s="251">
        <f t="shared" si="57"/>
        <v>0</v>
      </c>
      <c r="Q116" s="230">
        <v>0</v>
      </c>
      <c r="R116" s="43">
        <f t="shared" si="59"/>
        <v>0</v>
      </c>
      <c r="S116" s="200"/>
      <c r="T116" s="266"/>
      <c r="U116" s="210">
        <f t="shared" si="46"/>
        <v>0</v>
      </c>
      <c r="V116" s="36">
        <f t="shared" si="60"/>
        <v>0</v>
      </c>
      <c r="W116" s="36">
        <f t="shared" si="61"/>
        <v>0</v>
      </c>
      <c r="X116" s="230">
        <f t="shared" si="62"/>
        <v>0</v>
      </c>
      <c r="Y116" s="43">
        <f t="shared" si="62"/>
        <v>0</v>
      </c>
      <c r="Z116" s="250">
        <f t="shared" si="39"/>
        <v>0</v>
      </c>
      <c r="AA116" s="174">
        <f t="shared" si="40"/>
        <v>0</v>
      </c>
    </row>
    <row r="117" spans="1:27" s="117" customFormat="1" ht="9.9499999999999993" hidden="1" customHeight="1" x14ac:dyDescent="0.15">
      <c r="A117" s="144">
        <v>0</v>
      </c>
      <c r="B117" s="215">
        <v>0</v>
      </c>
      <c r="C117" s="145"/>
      <c r="D117" s="41">
        <f t="shared" si="53"/>
        <v>0</v>
      </c>
      <c r="E117" s="274"/>
      <c r="F117" s="196">
        <f t="shared" si="45"/>
        <v>0</v>
      </c>
      <c r="G117" s="258">
        <f t="shared" si="36"/>
        <v>0</v>
      </c>
      <c r="H117" s="246">
        <f t="shared" si="37"/>
        <v>0</v>
      </c>
      <c r="I117" s="200">
        <f t="shared" si="52"/>
        <v>0</v>
      </c>
      <c r="J117" s="230"/>
      <c r="K117" s="43">
        <f t="shared" si="56"/>
        <v>0</v>
      </c>
      <c r="L117" s="200"/>
      <c r="M117" s="196">
        <f t="shared" si="50"/>
        <v>0</v>
      </c>
      <c r="N117" s="36"/>
      <c r="O117" s="43"/>
      <c r="P117" s="251">
        <f t="shared" si="57"/>
        <v>0</v>
      </c>
      <c r="Q117" s="230"/>
      <c r="R117" s="43"/>
      <c r="S117" s="200"/>
      <c r="T117" s="266"/>
      <c r="U117" s="210">
        <f t="shared" si="46"/>
        <v>0</v>
      </c>
      <c r="V117" s="36">
        <f t="shared" si="60"/>
        <v>0</v>
      </c>
      <c r="W117" s="36">
        <f t="shared" si="61"/>
        <v>0</v>
      </c>
      <c r="X117" s="230">
        <f t="shared" si="62"/>
        <v>0</v>
      </c>
      <c r="Y117" s="43">
        <f t="shared" si="62"/>
        <v>0</v>
      </c>
      <c r="Z117" s="250">
        <f t="shared" si="39"/>
        <v>0</v>
      </c>
      <c r="AA117" s="174">
        <f t="shared" si="40"/>
        <v>0</v>
      </c>
    </row>
    <row r="118" spans="1:27" s="117" customFormat="1" ht="9.9499999999999993" hidden="1" customHeight="1" x14ac:dyDescent="0.15">
      <c r="A118" s="144" t="s">
        <v>209</v>
      </c>
      <c r="B118" s="215"/>
      <c r="C118" s="145">
        <f t="shared" si="58"/>
        <v>0</v>
      </c>
      <c r="D118" s="41">
        <f t="shared" si="53"/>
        <v>0</v>
      </c>
      <c r="E118" s="274"/>
      <c r="F118" s="195">
        <f t="shared" si="45"/>
        <v>0</v>
      </c>
      <c r="G118" s="258">
        <f t="shared" si="36"/>
        <v>0</v>
      </c>
      <c r="H118" s="246">
        <f t="shared" si="37"/>
        <v>0</v>
      </c>
      <c r="I118" s="200">
        <f t="shared" si="52"/>
        <v>0</v>
      </c>
      <c r="J118" s="230"/>
      <c r="K118" s="41">
        <f t="shared" si="56"/>
        <v>0</v>
      </c>
      <c r="L118" s="200"/>
      <c r="M118" s="195">
        <f t="shared" si="50"/>
        <v>0</v>
      </c>
      <c r="N118" s="36"/>
      <c r="O118" s="43">
        <f t="shared" si="65"/>
        <v>0</v>
      </c>
      <c r="P118" s="251">
        <f t="shared" si="57"/>
        <v>0</v>
      </c>
      <c r="Q118" s="230">
        <v>0</v>
      </c>
      <c r="R118" s="43">
        <f t="shared" si="59"/>
        <v>0</v>
      </c>
      <c r="S118" s="200"/>
      <c r="T118" s="266"/>
      <c r="U118" s="210">
        <f t="shared" si="46"/>
        <v>0</v>
      </c>
      <c r="V118" s="36">
        <f t="shared" si="60"/>
        <v>0</v>
      </c>
      <c r="W118" s="36">
        <f t="shared" si="61"/>
        <v>0</v>
      </c>
      <c r="X118" s="230">
        <f t="shared" si="62"/>
        <v>0</v>
      </c>
      <c r="Y118" s="43">
        <f t="shared" si="62"/>
        <v>0</v>
      </c>
      <c r="Z118" s="250">
        <f t="shared" si="39"/>
        <v>0</v>
      </c>
      <c r="AA118" s="174">
        <f t="shared" si="40"/>
        <v>0</v>
      </c>
    </row>
    <row r="119" spans="1:27" s="118" customFormat="1" ht="9.9499999999999993" customHeight="1" x14ac:dyDescent="0.15">
      <c r="A119" s="142" t="s">
        <v>314</v>
      </c>
      <c r="B119" s="212">
        <f>SUM(B120:B128)</f>
        <v>3.5599999999999996</v>
      </c>
      <c r="C119" s="140">
        <f t="shared" si="58"/>
        <v>3496.730175957252</v>
      </c>
      <c r="D119" s="41">
        <f>E119+U119</f>
        <v>3496730.1759572518</v>
      </c>
      <c r="E119" s="247">
        <f>SUM(E120:E127)</f>
        <v>2086682.16</v>
      </c>
      <c r="F119" s="195">
        <f t="shared" si="45"/>
        <v>4257.9465</v>
      </c>
      <c r="G119" s="258">
        <f t="shared" si="36"/>
        <v>4257946.5</v>
      </c>
      <c r="H119" s="246">
        <f t="shared" si="37"/>
        <v>1879262</v>
      </c>
      <c r="I119" s="198">
        <f>SUM(I120:I127)</f>
        <v>3798000</v>
      </c>
      <c r="J119" s="231">
        <f>SUM(J120:J128)</f>
        <v>5555.7740000000003</v>
      </c>
      <c r="K119" s="41">
        <f t="shared" si="56"/>
        <v>5677.2619999999997</v>
      </c>
      <c r="L119" s="198">
        <f>SUM(L120:L128)</f>
        <v>5677262</v>
      </c>
      <c r="M119" s="195">
        <f t="shared" si="50"/>
        <v>-8.3000000000000007</v>
      </c>
      <c r="N119" s="33"/>
      <c r="O119" s="41">
        <f t="shared" si="65"/>
        <v>-37.5</v>
      </c>
      <c r="P119" s="251">
        <f t="shared" si="57"/>
        <v>37500</v>
      </c>
      <c r="Q119" s="231">
        <f>SUM(Q120:Q127)</f>
        <v>-58</v>
      </c>
      <c r="R119" s="41">
        <f t="shared" si="59"/>
        <v>-50</v>
      </c>
      <c r="S119" s="198">
        <f>SUM(S120:S127)</f>
        <v>50000</v>
      </c>
      <c r="T119" s="265">
        <f>SUM(T120:T127)</f>
        <v>8300</v>
      </c>
      <c r="U119" s="210">
        <f>SUM(U120:U127)</f>
        <v>1410048.0159572519</v>
      </c>
      <c r="V119" s="33">
        <f t="shared" si="60"/>
        <v>3488.4301759572518</v>
      </c>
      <c r="W119" s="33">
        <f t="shared" si="61"/>
        <v>4220.4465</v>
      </c>
      <c r="X119" s="231">
        <f t="shared" si="62"/>
        <v>5497.7740000000003</v>
      </c>
      <c r="Y119" s="41">
        <f t="shared" si="62"/>
        <v>5627.2619999999997</v>
      </c>
      <c r="Z119" s="250">
        <f t="shared" si="39"/>
        <v>2059.0438240427484</v>
      </c>
      <c r="AA119" s="174">
        <f t="shared" si="40"/>
        <v>49.7</v>
      </c>
    </row>
    <row r="120" spans="1:27" s="117" customFormat="1" ht="9.9499999999999993" customHeight="1" x14ac:dyDescent="0.15">
      <c r="A120" s="144" t="s">
        <v>315</v>
      </c>
      <c r="B120" s="215">
        <v>0</v>
      </c>
      <c r="C120" s="145">
        <f t="shared" si="58"/>
        <v>1004.79053</v>
      </c>
      <c r="D120" s="191">
        <f t="shared" si="53"/>
        <v>1004790.53</v>
      </c>
      <c r="E120" s="274">
        <f>5132+999658.53</f>
        <v>1004790.53</v>
      </c>
      <c r="F120" s="196">
        <f>G120/1000</f>
        <v>1500</v>
      </c>
      <c r="G120" s="258">
        <f t="shared" si="36"/>
        <v>1500000</v>
      </c>
      <c r="H120" s="246">
        <f t="shared" si="37"/>
        <v>0</v>
      </c>
      <c r="I120" s="200">
        <f t="shared" si="52"/>
        <v>2000000</v>
      </c>
      <c r="J120" s="230">
        <f>K120</f>
        <v>2000</v>
      </c>
      <c r="K120" s="43">
        <f t="shared" si="56"/>
        <v>2000</v>
      </c>
      <c r="L120" s="200">
        <v>2000000</v>
      </c>
      <c r="M120" s="196">
        <f t="shared" si="50"/>
        <v>0</v>
      </c>
      <c r="N120" s="36"/>
      <c r="O120" s="43">
        <f t="shared" si="65"/>
        <v>0</v>
      </c>
      <c r="P120" s="251">
        <f t="shared" si="57"/>
        <v>0</v>
      </c>
      <c r="Q120" s="230">
        <f>R120</f>
        <v>0</v>
      </c>
      <c r="R120" s="43">
        <f t="shared" si="59"/>
        <v>0</v>
      </c>
      <c r="S120" s="200"/>
      <c r="T120" s="266"/>
      <c r="U120" s="227">
        <f t="shared" si="46"/>
        <v>0</v>
      </c>
      <c r="V120" s="36">
        <f t="shared" si="60"/>
        <v>1004.79053</v>
      </c>
      <c r="W120" s="36">
        <f t="shared" si="61"/>
        <v>1500</v>
      </c>
      <c r="X120" s="230">
        <f t="shared" si="62"/>
        <v>2000</v>
      </c>
      <c r="Y120" s="43">
        <f t="shared" si="62"/>
        <v>2000</v>
      </c>
      <c r="Z120" s="250">
        <f t="shared" si="39"/>
        <v>995.20947000000001</v>
      </c>
      <c r="AA120" s="174">
        <f t="shared" si="40"/>
        <v>0</v>
      </c>
    </row>
    <row r="121" spans="1:27" s="117" customFormat="1" ht="9.9499999999999993" customHeight="1" x14ac:dyDescent="0.15">
      <c r="A121" s="144" t="s">
        <v>316</v>
      </c>
      <c r="B121" s="215">
        <v>0.1</v>
      </c>
      <c r="C121" s="145">
        <f t="shared" si="58"/>
        <v>209.54135033587789</v>
      </c>
      <c r="D121" s="191">
        <f t="shared" si="53"/>
        <v>209541.35033587788</v>
      </c>
      <c r="E121" s="274">
        <v>169933.26</v>
      </c>
      <c r="F121" s="196">
        <f t="shared" ref="F121:F129" si="66">G121/1000</f>
        <v>116.84099999999999</v>
      </c>
      <c r="G121" s="258">
        <f t="shared" si="36"/>
        <v>116841</v>
      </c>
      <c r="H121" s="246">
        <f t="shared" si="37"/>
        <v>52788</v>
      </c>
      <c r="I121" s="200">
        <f>L121-52788</f>
        <v>103000</v>
      </c>
      <c r="J121" s="230">
        <v>250</v>
      </c>
      <c r="K121" s="43">
        <f t="shared" si="56"/>
        <v>155.78800000000001</v>
      </c>
      <c r="L121" s="200">
        <v>155788</v>
      </c>
      <c r="M121" s="196">
        <f t="shared" si="50"/>
        <v>0</v>
      </c>
      <c r="N121" s="36"/>
      <c r="O121" s="43">
        <f t="shared" si="65"/>
        <v>0</v>
      </c>
      <c r="P121" s="251">
        <f t="shared" si="57"/>
        <v>0</v>
      </c>
      <c r="Q121" s="230">
        <f t="shared" ref="Q121:Q127" si="67">R121</f>
        <v>0</v>
      </c>
      <c r="R121" s="43">
        <f t="shared" si="59"/>
        <v>0</v>
      </c>
      <c r="S121" s="200"/>
      <c r="T121" s="266"/>
      <c r="U121" s="227">
        <f t="shared" si="46"/>
        <v>39608.090335877867</v>
      </c>
      <c r="V121" s="36">
        <f t="shared" si="60"/>
        <v>209.54135033587789</v>
      </c>
      <c r="W121" s="36">
        <f t="shared" si="61"/>
        <v>116.84099999999999</v>
      </c>
      <c r="X121" s="230">
        <f t="shared" si="62"/>
        <v>250</v>
      </c>
      <c r="Y121" s="43">
        <f t="shared" si="62"/>
        <v>155.78800000000001</v>
      </c>
      <c r="Z121" s="250">
        <f t="shared" si="39"/>
        <v>40.458649664122106</v>
      </c>
      <c r="AA121" s="174">
        <f t="shared" si="40"/>
        <v>0</v>
      </c>
    </row>
    <row r="122" spans="1:27" s="117" customFormat="1" ht="9.9499999999999993" customHeight="1" x14ac:dyDescent="0.15">
      <c r="A122" s="144" t="s">
        <v>317</v>
      </c>
      <c r="B122" s="215">
        <v>0.35</v>
      </c>
      <c r="C122" s="145">
        <f t="shared" si="58"/>
        <v>201.50078617557253</v>
      </c>
      <c r="D122" s="191">
        <f t="shared" si="53"/>
        <v>201500.78617557252</v>
      </c>
      <c r="E122" s="274">
        <v>62872.47</v>
      </c>
      <c r="F122" s="196">
        <f t="shared" si="66"/>
        <v>307.31925000000001</v>
      </c>
      <c r="G122" s="258">
        <f t="shared" si="36"/>
        <v>307319.25</v>
      </c>
      <c r="H122" s="246">
        <f t="shared" si="37"/>
        <v>184759</v>
      </c>
      <c r="I122" s="200">
        <f>L122-184759</f>
        <v>225000</v>
      </c>
      <c r="J122" s="230">
        <v>350</v>
      </c>
      <c r="K122" s="43">
        <f t="shared" si="56"/>
        <v>409.75900000000001</v>
      </c>
      <c r="L122" s="200">
        <v>409759</v>
      </c>
      <c r="M122" s="196">
        <f t="shared" si="50"/>
        <v>0</v>
      </c>
      <c r="N122" s="36"/>
      <c r="O122" s="43">
        <f t="shared" si="65"/>
        <v>0</v>
      </c>
      <c r="P122" s="251">
        <f t="shared" si="57"/>
        <v>0</v>
      </c>
      <c r="Q122" s="230">
        <f t="shared" si="67"/>
        <v>0</v>
      </c>
      <c r="R122" s="43">
        <f t="shared" si="59"/>
        <v>0</v>
      </c>
      <c r="S122" s="200"/>
      <c r="T122" s="266"/>
      <c r="U122" s="227">
        <f t="shared" si="46"/>
        <v>138628.31617557252</v>
      </c>
      <c r="V122" s="36">
        <f t="shared" si="60"/>
        <v>201.50078617557253</v>
      </c>
      <c r="W122" s="36">
        <f t="shared" si="61"/>
        <v>307.31925000000001</v>
      </c>
      <c r="X122" s="230">
        <f t="shared" si="62"/>
        <v>350</v>
      </c>
      <c r="Y122" s="43">
        <f t="shared" si="62"/>
        <v>409.75900000000001</v>
      </c>
      <c r="Z122" s="250">
        <f t="shared" si="39"/>
        <v>148.49921382442747</v>
      </c>
      <c r="AA122" s="174">
        <f t="shared" si="40"/>
        <v>0</v>
      </c>
    </row>
    <row r="123" spans="1:27" s="117" customFormat="1" ht="9.9499999999999993" customHeight="1" x14ac:dyDescent="0.15">
      <c r="A123" s="144" t="s">
        <v>318</v>
      </c>
      <c r="B123" s="215">
        <v>0.05</v>
      </c>
      <c r="C123" s="145">
        <f t="shared" si="58"/>
        <v>124.14712516793892</v>
      </c>
      <c r="D123" s="191">
        <f t="shared" si="53"/>
        <v>124147.12516793892</v>
      </c>
      <c r="E123" s="274">
        <f>35478.79+68864.29</f>
        <v>104343.07999999999</v>
      </c>
      <c r="F123" s="196">
        <f t="shared" si="66"/>
        <v>147.2955</v>
      </c>
      <c r="G123" s="258">
        <f t="shared" si="36"/>
        <v>147295.5</v>
      </c>
      <c r="H123" s="246">
        <f t="shared" si="37"/>
        <v>26394</v>
      </c>
      <c r="I123" s="200">
        <f>L123-26394</f>
        <v>170000</v>
      </c>
      <c r="J123" s="230">
        <f>K123-16</f>
        <v>180.39400000000001</v>
      </c>
      <c r="K123" s="43">
        <f t="shared" si="56"/>
        <v>196.39400000000001</v>
      </c>
      <c r="L123" s="200">
        <v>196394</v>
      </c>
      <c r="M123" s="196">
        <f t="shared" si="50"/>
        <v>-8.3000000000000007</v>
      </c>
      <c r="N123" s="36"/>
      <c r="O123" s="43">
        <f t="shared" si="65"/>
        <v>0</v>
      </c>
      <c r="P123" s="251">
        <f t="shared" si="57"/>
        <v>0</v>
      </c>
      <c r="Q123" s="230">
        <v>-8</v>
      </c>
      <c r="R123" s="43">
        <f t="shared" si="59"/>
        <v>0</v>
      </c>
      <c r="S123" s="200"/>
      <c r="T123" s="266">
        <v>8300</v>
      </c>
      <c r="U123" s="227">
        <f t="shared" si="46"/>
        <v>19804.045167938933</v>
      </c>
      <c r="V123" s="36">
        <f t="shared" si="60"/>
        <v>115.84712516793893</v>
      </c>
      <c r="W123" s="36">
        <f t="shared" si="61"/>
        <v>147.2955</v>
      </c>
      <c r="X123" s="230">
        <f t="shared" si="62"/>
        <v>172.39400000000001</v>
      </c>
      <c r="Y123" s="43">
        <f t="shared" si="62"/>
        <v>196.39400000000001</v>
      </c>
      <c r="Z123" s="250">
        <f t="shared" si="39"/>
        <v>56.246874832061081</v>
      </c>
      <c r="AA123" s="174">
        <f t="shared" si="40"/>
        <v>-0.30000000000000071</v>
      </c>
    </row>
    <row r="124" spans="1:27" s="117" customFormat="1" ht="9.9499999999999993" customHeight="1" x14ac:dyDescent="0.15">
      <c r="A124" s="144" t="s">
        <v>344</v>
      </c>
      <c r="B124" s="215">
        <v>0.85</v>
      </c>
      <c r="C124" s="145">
        <f t="shared" si="58"/>
        <v>892.5814778549618</v>
      </c>
      <c r="D124" s="191">
        <f t="shared" si="53"/>
        <v>892581.47785496176</v>
      </c>
      <c r="E124" s="274">
        <v>555912.71</v>
      </c>
      <c r="F124" s="196">
        <f t="shared" si="66"/>
        <v>1049.0250000000001</v>
      </c>
      <c r="G124" s="258">
        <f t="shared" si="36"/>
        <v>1049025</v>
      </c>
      <c r="H124" s="246">
        <f t="shared" si="37"/>
        <v>448700</v>
      </c>
      <c r="I124" s="200">
        <f>L124-448700</f>
        <v>950000</v>
      </c>
      <c r="J124" s="230">
        <f>K124-64</f>
        <v>1334.7</v>
      </c>
      <c r="K124" s="43">
        <f t="shared" si="56"/>
        <v>1398.7</v>
      </c>
      <c r="L124" s="200">
        <v>1398700</v>
      </c>
      <c r="M124" s="196">
        <f t="shared" si="50"/>
        <v>0</v>
      </c>
      <c r="N124" s="36"/>
      <c r="O124" s="43">
        <f t="shared" si="65"/>
        <v>0</v>
      </c>
      <c r="P124" s="251">
        <f t="shared" si="57"/>
        <v>0</v>
      </c>
      <c r="Q124" s="230">
        <f t="shared" si="67"/>
        <v>0</v>
      </c>
      <c r="R124" s="43">
        <f t="shared" si="59"/>
        <v>0</v>
      </c>
      <c r="S124" s="200"/>
      <c r="T124" s="266"/>
      <c r="U124" s="227">
        <f t="shared" si="46"/>
        <v>336668.7678549618</v>
      </c>
      <c r="V124" s="36">
        <f t="shared" si="60"/>
        <v>892.5814778549618</v>
      </c>
      <c r="W124" s="36">
        <f t="shared" si="61"/>
        <v>1049.0250000000001</v>
      </c>
      <c r="X124" s="230">
        <f t="shared" si="62"/>
        <v>1334.7</v>
      </c>
      <c r="Y124" s="43">
        <f t="shared" si="62"/>
        <v>1398.7</v>
      </c>
      <c r="Z124" s="250">
        <f t="shared" si="39"/>
        <v>442.11852214503824</v>
      </c>
      <c r="AA124" s="174">
        <f t="shared" si="40"/>
        <v>0</v>
      </c>
    </row>
    <row r="125" spans="1:27" s="117" customFormat="1" ht="9.9499999999999993" customHeight="1" x14ac:dyDescent="0.15">
      <c r="A125" s="144" t="s">
        <v>319</v>
      </c>
      <c r="B125" s="215">
        <v>0.5</v>
      </c>
      <c r="C125" s="145">
        <f t="shared" si="58"/>
        <v>240.95923167938932</v>
      </c>
      <c r="D125" s="191">
        <f t="shared" si="53"/>
        <v>240959.23167938931</v>
      </c>
      <c r="E125" s="274">
        <v>42918.78</v>
      </c>
      <c r="F125" s="196">
        <f t="shared" si="66"/>
        <v>291.70575000000002</v>
      </c>
      <c r="G125" s="258">
        <f t="shared" si="36"/>
        <v>291705.75</v>
      </c>
      <c r="H125" s="246">
        <f t="shared" si="37"/>
        <v>263941</v>
      </c>
      <c r="I125" s="200">
        <f>L125-263941</f>
        <v>125000</v>
      </c>
      <c r="J125" s="230">
        <v>350</v>
      </c>
      <c r="K125" s="43">
        <f t="shared" si="56"/>
        <v>388.94099999999997</v>
      </c>
      <c r="L125" s="200">
        <v>388941</v>
      </c>
      <c r="M125" s="196">
        <f t="shared" si="50"/>
        <v>0</v>
      </c>
      <c r="N125" s="36"/>
      <c r="O125" s="43">
        <f t="shared" si="65"/>
        <v>0</v>
      </c>
      <c r="P125" s="251">
        <f t="shared" si="57"/>
        <v>0</v>
      </c>
      <c r="Q125" s="230">
        <f t="shared" si="67"/>
        <v>0</v>
      </c>
      <c r="R125" s="43">
        <f t="shared" si="59"/>
        <v>0</v>
      </c>
      <c r="S125" s="200"/>
      <c r="T125" s="266"/>
      <c r="U125" s="227">
        <f t="shared" si="46"/>
        <v>198040.45167938931</v>
      </c>
      <c r="V125" s="36">
        <f t="shared" si="60"/>
        <v>240.95923167938932</v>
      </c>
      <c r="W125" s="36">
        <f t="shared" si="61"/>
        <v>291.70575000000002</v>
      </c>
      <c r="X125" s="230">
        <f t="shared" si="62"/>
        <v>350</v>
      </c>
      <c r="Y125" s="43">
        <f t="shared" si="62"/>
        <v>388.94099999999997</v>
      </c>
      <c r="Z125" s="250">
        <f t="shared" si="39"/>
        <v>109.04076832061068</v>
      </c>
      <c r="AA125" s="174">
        <f t="shared" si="40"/>
        <v>0</v>
      </c>
    </row>
    <row r="126" spans="1:27" s="117" customFormat="1" ht="9.9499999999999993" customHeight="1" x14ac:dyDescent="0.15">
      <c r="A126" s="144" t="s">
        <v>320</v>
      </c>
      <c r="B126" s="215">
        <v>1.1599999999999999</v>
      </c>
      <c r="C126" s="145">
        <f t="shared" si="58"/>
        <v>512.33824789618325</v>
      </c>
      <c r="D126" s="191">
        <f t="shared" si="53"/>
        <v>512338.24789618322</v>
      </c>
      <c r="E126" s="274">
        <v>52884.4</v>
      </c>
      <c r="F126" s="196">
        <f t="shared" si="66"/>
        <v>553.00800000000004</v>
      </c>
      <c r="G126" s="258">
        <f t="shared" si="36"/>
        <v>553008</v>
      </c>
      <c r="H126" s="246">
        <f t="shared" si="37"/>
        <v>612344</v>
      </c>
      <c r="I126" s="200">
        <f>L126-612344</f>
        <v>125000</v>
      </c>
      <c r="J126" s="230">
        <f>K126-37</f>
        <v>700.34400000000005</v>
      </c>
      <c r="K126" s="43">
        <f t="shared" si="56"/>
        <v>737.34400000000005</v>
      </c>
      <c r="L126" s="200">
        <v>737344</v>
      </c>
      <c r="M126" s="196">
        <f t="shared" si="50"/>
        <v>0</v>
      </c>
      <c r="N126" s="36"/>
      <c r="O126" s="43">
        <f t="shared" si="65"/>
        <v>-37.5</v>
      </c>
      <c r="P126" s="251">
        <f t="shared" si="57"/>
        <v>37500</v>
      </c>
      <c r="Q126" s="230">
        <f t="shared" si="67"/>
        <v>-50</v>
      </c>
      <c r="R126" s="43">
        <f t="shared" si="59"/>
        <v>-50</v>
      </c>
      <c r="S126" s="200">
        <v>50000</v>
      </c>
      <c r="T126" s="266"/>
      <c r="U126" s="227">
        <f t="shared" si="46"/>
        <v>459453.8478961832</v>
      </c>
      <c r="V126" s="36">
        <f t="shared" si="60"/>
        <v>512.33824789618325</v>
      </c>
      <c r="W126" s="36">
        <f t="shared" si="61"/>
        <v>515.50800000000004</v>
      </c>
      <c r="X126" s="230">
        <f t="shared" si="62"/>
        <v>650.34400000000005</v>
      </c>
      <c r="Y126" s="43">
        <f t="shared" si="62"/>
        <v>687.34400000000005</v>
      </c>
      <c r="Z126" s="250">
        <f t="shared" si="39"/>
        <v>188.0057521038168</v>
      </c>
      <c r="AA126" s="174">
        <f t="shared" si="40"/>
        <v>50</v>
      </c>
    </row>
    <row r="127" spans="1:27" s="117" customFormat="1" ht="9.9499999999999993" customHeight="1" x14ac:dyDescent="0.15">
      <c r="A127" s="144" t="s">
        <v>322</v>
      </c>
      <c r="B127" s="215">
        <v>0.55000000000000004</v>
      </c>
      <c r="C127" s="145">
        <f t="shared" si="58"/>
        <v>310.87142684732828</v>
      </c>
      <c r="D127" s="191">
        <f t="shared" si="53"/>
        <v>310871.42684732826</v>
      </c>
      <c r="E127" s="274">
        <v>93026.93</v>
      </c>
      <c r="F127" s="196">
        <f t="shared" si="66"/>
        <v>292.75200000000001</v>
      </c>
      <c r="G127" s="258">
        <f t="shared" si="36"/>
        <v>292752</v>
      </c>
      <c r="H127" s="246">
        <f t="shared" si="37"/>
        <v>290336</v>
      </c>
      <c r="I127" s="200">
        <f>L127-290336</f>
        <v>100000</v>
      </c>
      <c r="J127" s="230">
        <f t="shared" ref="J127" si="68">K127</f>
        <v>390.33600000000001</v>
      </c>
      <c r="K127" s="43">
        <f t="shared" si="56"/>
        <v>390.33600000000001</v>
      </c>
      <c r="L127" s="200">
        <v>390336</v>
      </c>
      <c r="M127" s="196">
        <f t="shared" si="50"/>
        <v>0</v>
      </c>
      <c r="N127" s="36"/>
      <c r="O127" s="43">
        <f t="shared" si="65"/>
        <v>0</v>
      </c>
      <c r="P127" s="251">
        <f t="shared" si="57"/>
        <v>0</v>
      </c>
      <c r="Q127" s="230">
        <f t="shared" si="67"/>
        <v>0</v>
      </c>
      <c r="R127" s="43">
        <f t="shared" si="59"/>
        <v>0</v>
      </c>
      <c r="S127" s="200"/>
      <c r="T127" s="266"/>
      <c r="U127" s="227">
        <f t="shared" si="46"/>
        <v>217844.49684732826</v>
      </c>
      <c r="V127" s="36">
        <f t="shared" si="60"/>
        <v>310.87142684732828</v>
      </c>
      <c r="W127" s="36">
        <f t="shared" si="61"/>
        <v>292.75200000000001</v>
      </c>
      <c r="X127" s="230">
        <f t="shared" si="62"/>
        <v>390.33600000000001</v>
      </c>
      <c r="Y127" s="43">
        <f t="shared" si="62"/>
        <v>390.33600000000001</v>
      </c>
      <c r="Z127" s="250">
        <f t="shared" si="39"/>
        <v>79.464573152671733</v>
      </c>
      <c r="AA127" s="174">
        <f t="shared" si="40"/>
        <v>0</v>
      </c>
    </row>
    <row r="128" spans="1:27" s="117" customFormat="1" ht="9.9499999999999993" hidden="1" customHeight="1" x14ac:dyDescent="0.15">
      <c r="A128" s="144"/>
      <c r="B128" s="215"/>
      <c r="C128" s="145">
        <f t="shared" si="58"/>
        <v>0</v>
      </c>
      <c r="D128" s="41">
        <f t="shared" si="53"/>
        <v>0</v>
      </c>
      <c r="E128" s="274"/>
      <c r="F128" s="196">
        <f t="shared" si="66"/>
        <v>0</v>
      </c>
      <c r="G128" s="258">
        <f t="shared" si="36"/>
        <v>0</v>
      </c>
      <c r="H128" s="246">
        <f t="shared" si="37"/>
        <v>0</v>
      </c>
      <c r="I128" s="200">
        <f t="shared" si="52"/>
        <v>0</v>
      </c>
      <c r="J128" s="230"/>
      <c r="K128" s="43">
        <f t="shared" si="56"/>
        <v>0</v>
      </c>
      <c r="L128" s="200"/>
      <c r="M128" s="196">
        <f t="shared" si="50"/>
        <v>0</v>
      </c>
      <c r="N128" s="36"/>
      <c r="O128" s="43">
        <f t="shared" si="65"/>
        <v>0</v>
      </c>
      <c r="P128" s="251">
        <f t="shared" si="57"/>
        <v>0</v>
      </c>
      <c r="Q128" s="230">
        <v>0</v>
      </c>
      <c r="R128" s="43">
        <f t="shared" si="59"/>
        <v>0</v>
      </c>
      <c r="S128" s="200"/>
      <c r="T128" s="266"/>
      <c r="U128" s="210">
        <f t="shared" si="46"/>
        <v>0</v>
      </c>
      <c r="V128" s="36">
        <f>C128+M128</f>
        <v>0</v>
      </c>
      <c r="W128" s="36">
        <f t="shared" si="61"/>
        <v>0</v>
      </c>
      <c r="X128" s="230">
        <f t="shared" si="62"/>
        <v>0</v>
      </c>
      <c r="Y128" s="43">
        <f t="shared" si="62"/>
        <v>0</v>
      </c>
      <c r="Z128" s="250">
        <f t="shared" si="39"/>
        <v>0</v>
      </c>
      <c r="AA128" s="174">
        <f t="shared" si="40"/>
        <v>0</v>
      </c>
    </row>
    <row r="129" spans="1:27" s="117" customFormat="1" ht="9" hidden="1" customHeight="1" x14ac:dyDescent="0.15">
      <c r="A129" s="144"/>
      <c r="B129" s="215"/>
      <c r="C129" s="140"/>
      <c r="D129" s="41">
        <f t="shared" si="53"/>
        <v>0</v>
      </c>
      <c r="E129" s="274"/>
      <c r="F129" s="196">
        <f t="shared" si="66"/>
        <v>0</v>
      </c>
      <c r="G129" s="258">
        <f t="shared" si="36"/>
        <v>0</v>
      </c>
      <c r="H129" s="246">
        <f t="shared" si="37"/>
        <v>0</v>
      </c>
      <c r="I129" s="200">
        <f t="shared" si="52"/>
        <v>0</v>
      </c>
      <c r="J129" s="230"/>
      <c r="K129" s="41">
        <f t="shared" si="56"/>
        <v>0</v>
      </c>
      <c r="L129" s="200"/>
      <c r="M129" s="195">
        <f t="shared" si="50"/>
        <v>0</v>
      </c>
      <c r="N129" s="36"/>
      <c r="O129" s="43"/>
      <c r="P129" s="251">
        <f t="shared" si="57"/>
        <v>0</v>
      </c>
      <c r="Q129" s="230"/>
      <c r="R129" s="43"/>
      <c r="S129" s="200"/>
      <c r="T129" s="266"/>
      <c r="U129" s="210">
        <f t="shared" si="46"/>
        <v>0</v>
      </c>
      <c r="V129" s="36"/>
      <c r="W129" s="36"/>
      <c r="X129" s="230"/>
      <c r="Y129" s="41"/>
      <c r="Z129" s="250">
        <f t="shared" si="39"/>
        <v>0</v>
      </c>
      <c r="AA129" s="174">
        <f t="shared" si="40"/>
        <v>0</v>
      </c>
    </row>
    <row r="130" spans="1:27" s="179" customFormat="1" x14ac:dyDescent="0.15">
      <c r="A130" s="168" t="s">
        <v>84</v>
      </c>
      <c r="B130" s="216">
        <f>B131+B132+B133+B134+B136+B135</f>
        <v>6.2</v>
      </c>
      <c r="C130" s="170">
        <f t="shared" ref="C130" si="69">D130/1000</f>
        <v>6951.325960824428</v>
      </c>
      <c r="D130" s="41">
        <f t="shared" si="53"/>
        <v>6951325.9608244281</v>
      </c>
      <c r="E130" s="195">
        <f>SUM(E131:E134)</f>
        <v>4495624.3600000003</v>
      </c>
      <c r="F130" s="191">
        <f t="shared" si="45"/>
        <v>6392.1547499999997</v>
      </c>
      <c r="G130" s="258">
        <f t="shared" si="36"/>
        <v>6392154.75</v>
      </c>
      <c r="H130" s="256">
        <f t="shared" si="37"/>
        <v>3272873</v>
      </c>
      <c r="I130" s="198">
        <f>SUM(I131:I134)</f>
        <v>5250000</v>
      </c>
      <c r="J130" s="191">
        <f>SUM(J131:J136)</f>
        <v>8861.6549999999988</v>
      </c>
      <c r="K130" s="191">
        <f t="shared" si="56"/>
        <v>8522.8729999999996</v>
      </c>
      <c r="L130" s="191">
        <f>SUM(L131:L136)</f>
        <v>8522873</v>
      </c>
      <c r="M130" s="191">
        <f t="shared" si="50"/>
        <v>-793.38157999999999</v>
      </c>
      <c r="N130" s="171">
        <f>N131+N132+N133+N134+N136</f>
        <v>0</v>
      </c>
      <c r="O130" s="171">
        <f t="shared" ref="O130:O134" si="70">P130/1000*-1</f>
        <v>-750</v>
      </c>
      <c r="P130" s="251">
        <f t="shared" si="57"/>
        <v>750000</v>
      </c>
      <c r="Q130" s="191">
        <f>Q131+Q132+Q133+Q134+Q136</f>
        <v>-1000</v>
      </c>
      <c r="R130" s="171">
        <f t="shared" ref="R130:R134" si="71">S130/1000*-1</f>
        <v>-1000</v>
      </c>
      <c r="S130" s="191">
        <f>SUM(S131:S137)</f>
        <v>1000000</v>
      </c>
      <c r="T130" s="201">
        <f>T131+T132+T133+T134+T136</f>
        <v>793381.58</v>
      </c>
      <c r="U130" s="210">
        <f>SUM(U131:U134)</f>
        <v>2455701.6008244273</v>
      </c>
      <c r="V130" s="173">
        <f t="shared" ref="V130:V135" si="72">C130+M130</f>
        <v>6157.9443808244278</v>
      </c>
      <c r="W130" s="173">
        <f t="shared" ref="W130:W135" si="73">F130+O130</f>
        <v>5642.1547499999997</v>
      </c>
      <c r="X130" s="198">
        <f>J130+Q130</f>
        <v>7861.6549999999988</v>
      </c>
      <c r="Y130" s="171">
        <f t="shared" ref="Y130:Y136" si="74">K130+R130</f>
        <v>7522.8729999999996</v>
      </c>
      <c r="Z130" s="250">
        <f t="shared" si="39"/>
        <v>1910.3290391755709</v>
      </c>
      <c r="AA130" s="174">
        <f t="shared" si="40"/>
        <v>206.61842000000001</v>
      </c>
    </row>
    <row r="131" spans="1:27" s="117" customFormat="1" ht="9.9499999999999993" customHeight="1" x14ac:dyDescent="0.15">
      <c r="A131" s="142" t="s">
        <v>323</v>
      </c>
      <c r="B131" s="212">
        <v>1.1499999999999999</v>
      </c>
      <c r="C131" s="145">
        <f>D131/1000</f>
        <v>867.37629886259538</v>
      </c>
      <c r="D131" s="191">
        <f t="shared" si="53"/>
        <v>867376.29886259534</v>
      </c>
      <c r="E131" s="273">
        <v>411883.26</v>
      </c>
      <c r="F131" s="196">
        <f t="shared" si="45"/>
        <v>755.29875000000004</v>
      </c>
      <c r="G131" s="258">
        <f t="shared" si="36"/>
        <v>755298.75</v>
      </c>
      <c r="H131" s="246">
        <f t="shared" si="37"/>
        <v>607065</v>
      </c>
      <c r="I131" s="200">
        <f>L131-607065</f>
        <v>400000</v>
      </c>
      <c r="J131" s="230">
        <f>K131+43</f>
        <v>1050.0650000000001</v>
      </c>
      <c r="K131" s="43">
        <f t="shared" si="56"/>
        <v>1007.0650000000001</v>
      </c>
      <c r="L131" s="200">
        <v>1007065</v>
      </c>
      <c r="M131" s="196">
        <f t="shared" si="50"/>
        <v>0</v>
      </c>
      <c r="N131" s="33"/>
      <c r="O131" s="43">
        <f t="shared" si="70"/>
        <v>0</v>
      </c>
      <c r="P131" s="251">
        <f t="shared" si="57"/>
        <v>0</v>
      </c>
      <c r="Q131" s="230">
        <f>R131</f>
        <v>0</v>
      </c>
      <c r="R131" s="43">
        <f t="shared" si="71"/>
        <v>0</v>
      </c>
      <c r="S131" s="200"/>
      <c r="T131" s="266"/>
      <c r="U131" s="227">
        <f t="shared" si="46"/>
        <v>455493.03886259539</v>
      </c>
      <c r="V131" s="36">
        <f t="shared" si="72"/>
        <v>867.37629886259538</v>
      </c>
      <c r="W131" s="36">
        <f t="shared" si="73"/>
        <v>755.29875000000004</v>
      </c>
      <c r="X131" s="230">
        <f t="shared" ref="X131:X136" si="75">J131+Q131</f>
        <v>1050.0650000000001</v>
      </c>
      <c r="Y131" s="43">
        <f t="shared" si="74"/>
        <v>1007.0650000000001</v>
      </c>
      <c r="Z131" s="250">
        <f t="shared" si="39"/>
        <v>182.68870113740468</v>
      </c>
      <c r="AA131" s="174">
        <f t="shared" si="40"/>
        <v>0</v>
      </c>
    </row>
    <row r="132" spans="1:27" s="117" customFormat="1" ht="9.9499999999999993" customHeight="1" x14ac:dyDescent="0.15">
      <c r="A132" s="142" t="s">
        <v>324</v>
      </c>
      <c r="B132" s="212">
        <v>2.2000000000000002</v>
      </c>
      <c r="C132" s="145">
        <f t="shared" ref="C132:C134" si="76">D132/1000</f>
        <v>921.632097389313</v>
      </c>
      <c r="D132" s="191">
        <f t="shared" si="53"/>
        <v>921632.09738931304</v>
      </c>
      <c r="E132" s="273">
        <f>45256.18+4997.93</f>
        <v>50254.11</v>
      </c>
      <c r="F132" s="196">
        <f t="shared" si="45"/>
        <v>946.00649999999996</v>
      </c>
      <c r="G132" s="258">
        <f t="shared" si="36"/>
        <v>946006.5</v>
      </c>
      <c r="H132" s="246">
        <f t="shared" si="37"/>
        <v>1161342</v>
      </c>
      <c r="I132" s="200">
        <f>L132-1161342</f>
        <v>100000</v>
      </c>
      <c r="J132" s="230">
        <f>K132</f>
        <v>1261.3420000000001</v>
      </c>
      <c r="K132" s="43">
        <f t="shared" si="56"/>
        <v>1261.3420000000001</v>
      </c>
      <c r="L132" s="200">
        <v>1261342</v>
      </c>
      <c r="M132" s="196">
        <f t="shared" si="50"/>
        <v>0</v>
      </c>
      <c r="N132" s="33"/>
      <c r="O132" s="43">
        <f t="shared" si="70"/>
        <v>0</v>
      </c>
      <c r="P132" s="251">
        <f t="shared" si="57"/>
        <v>0</v>
      </c>
      <c r="Q132" s="230">
        <f t="shared" ref="Q132:Q137" si="77">R132</f>
        <v>0</v>
      </c>
      <c r="R132" s="43">
        <f t="shared" si="71"/>
        <v>0</v>
      </c>
      <c r="S132" s="200"/>
      <c r="T132" s="266"/>
      <c r="U132" s="227">
        <f t="shared" si="46"/>
        <v>871377.98738931306</v>
      </c>
      <c r="V132" s="36">
        <f t="shared" si="72"/>
        <v>921.632097389313</v>
      </c>
      <c r="W132" s="36">
        <f t="shared" si="73"/>
        <v>946.00649999999996</v>
      </c>
      <c r="X132" s="230">
        <f t="shared" si="75"/>
        <v>1261.3420000000001</v>
      </c>
      <c r="Y132" s="43">
        <f t="shared" si="74"/>
        <v>1261.3420000000001</v>
      </c>
      <c r="Z132" s="250">
        <f t="shared" si="39"/>
        <v>339.7099026106871</v>
      </c>
      <c r="AA132" s="174">
        <f t="shared" si="40"/>
        <v>0</v>
      </c>
    </row>
    <row r="133" spans="1:27" s="117" customFormat="1" ht="9.9499999999999993" customHeight="1" x14ac:dyDescent="0.15">
      <c r="A133" s="142" t="s">
        <v>329</v>
      </c>
      <c r="B133" s="212">
        <v>1.55</v>
      </c>
      <c r="C133" s="145">
        <f t="shared" si="76"/>
        <v>1175.480370206107</v>
      </c>
      <c r="D133" s="191">
        <f t="shared" si="53"/>
        <v>1175480.3702061069</v>
      </c>
      <c r="E133" s="273">
        <f>370306.4+191248.57</f>
        <v>561554.97</v>
      </c>
      <c r="F133" s="196">
        <f t="shared" si="45"/>
        <v>876.1635</v>
      </c>
      <c r="G133" s="258">
        <f t="shared" si="36"/>
        <v>876163.5</v>
      </c>
      <c r="H133" s="246">
        <f t="shared" si="37"/>
        <v>818218</v>
      </c>
      <c r="I133" s="200">
        <f>L133-818218</f>
        <v>350000</v>
      </c>
      <c r="J133" s="230">
        <v>1450</v>
      </c>
      <c r="K133" s="43">
        <f t="shared" si="56"/>
        <v>1168.2180000000001</v>
      </c>
      <c r="L133" s="200">
        <v>1168218</v>
      </c>
      <c r="M133" s="196">
        <f t="shared" si="50"/>
        <v>0</v>
      </c>
      <c r="N133" s="33"/>
      <c r="O133" s="43">
        <f t="shared" si="70"/>
        <v>0</v>
      </c>
      <c r="P133" s="251">
        <f>S133/4*3</f>
        <v>0</v>
      </c>
      <c r="Q133" s="230">
        <f t="shared" si="77"/>
        <v>0</v>
      </c>
      <c r="R133" s="43">
        <f t="shared" si="71"/>
        <v>0</v>
      </c>
      <c r="S133" s="200"/>
      <c r="T133" s="266"/>
      <c r="U133" s="227">
        <f t="shared" si="46"/>
        <v>613925.40020610683</v>
      </c>
      <c r="V133" s="36">
        <f t="shared" si="72"/>
        <v>1175.480370206107</v>
      </c>
      <c r="W133" s="36">
        <f t="shared" si="73"/>
        <v>876.1635</v>
      </c>
      <c r="X133" s="230">
        <f t="shared" si="75"/>
        <v>1450</v>
      </c>
      <c r="Y133" s="43">
        <f t="shared" si="74"/>
        <v>1168.2180000000001</v>
      </c>
      <c r="Z133" s="250">
        <f t="shared" si="39"/>
        <v>274.51962979389305</v>
      </c>
      <c r="AA133" s="174">
        <f t="shared" si="40"/>
        <v>0</v>
      </c>
    </row>
    <row r="134" spans="1:27" s="117" customFormat="1" ht="9.9499999999999993" customHeight="1" x14ac:dyDescent="0.15">
      <c r="A134" s="142" t="s">
        <v>325</v>
      </c>
      <c r="B134" s="212">
        <v>1.3</v>
      </c>
      <c r="C134" s="145">
        <f t="shared" si="76"/>
        <v>3986.8371943664124</v>
      </c>
      <c r="D134" s="191">
        <f t="shared" si="53"/>
        <v>3986837.1943664122</v>
      </c>
      <c r="E134" s="273">
        <v>3471932.02</v>
      </c>
      <c r="F134" s="196">
        <f t="shared" si="45"/>
        <v>3814.6860000000001</v>
      </c>
      <c r="G134" s="258">
        <f t="shared" si="36"/>
        <v>3814686</v>
      </c>
      <c r="H134" s="246">
        <f t="shared" si="37"/>
        <v>686248</v>
      </c>
      <c r="I134" s="200">
        <f>L134-686248</f>
        <v>4400000</v>
      </c>
      <c r="J134" s="230">
        <f>K134+14</f>
        <v>5100.2479999999996</v>
      </c>
      <c r="K134" s="43">
        <f t="shared" si="56"/>
        <v>5086.2479999999996</v>
      </c>
      <c r="L134" s="200">
        <v>5086248</v>
      </c>
      <c r="M134" s="196">
        <f t="shared" si="50"/>
        <v>-793.38157999999999</v>
      </c>
      <c r="N134" s="33"/>
      <c r="O134" s="43">
        <f t="shared" si="70"/>
        <v>-750</v>
      </c>
      <c r="P134" s="251">
        <f t="shared" ref="P134:P157" si="78">S134/4*3</f>
        <v>750000</v>
      </c>
      <c r="Q134" s="230">
        <f t="shared" si="77"/>
        <v>-1000</v>
      </c>
      <c r="R134" s="43">
        <f t="shared" si="71"/>
        <v>-1000</v>
      </c>
      <c r="S134" s="200">
        <v>1000000</v>
      </c>
      <c r="T134" s="266">
        <f>1206+639659.95+152515.63</f>
        <v>793381.58</v>
      </c>
      <c r="U134" s="227">
        <f t="shared" si="46"/>
        <v>514905.17436641222</v>
      </c>
      <c r="V134" s="36">
        <f t="shared" si="72"/>
        <v>3193.4556143664122</v>
      </c>
      <c r="W134" s="36">
        <f t="shared" si="73"/>
        <v>3064.6860000000001</v>
      </c>
      <c r="X134" s="230">
        <f t="shared" si="75"/>
        <v>4100.2479999999996</v>
      </c>
      <c r="Y134" s="43">
        <f t="shared" si="74"/>
        <v>4086.2479999999996</v>
      </c>
      <c r="Z134" s="250">
        <f t="shared" si="39"/>
        <v>1113.4108056335872</v>
      </c>
      <c r="AA134" s="174">
        <f t="shared" si="40"/>
        <v>206.61842000000001</v>
      </c>
    </row>
    <row r="135" spans="1:27" s="117" customFormat="1" ht="9.9499999999999993" hidden="1" customHeight="1" x14ac:dyDescent="0.15">
      <c r="A135" s="142">
        <v>0</v>
      </c>
      <c r="B135" s="212">
        <v>0</v>
      </c>
      <c r="C135" s="145"/>
      <c r="D135" s="41">
        <f t="shared" si="53"/>
        <v>0</v>
      </c>
      <c r="E135" s="273"/>
      <c r="F135" s="196">
        <f t="shared" si="45"/>
        <v>0</v>
      </c>
      <c r="G135" s="258">
        <f t="shared" si="36"/>
        <v>0</v>
      </c>
      <c r="H135" s="246">
        <f t="shared" si="37"/>
        <v>0</v>
      </c>
      <c r="I135" s="200">
        <f t="shared" si="52"/>
        <v>0</v>
      </c>
      <c r="J135" s="230"/>
      <c r="K135" s="43">
        <f t="shared" si="56"/>
        <v>0</v>
      </c>
      <c r="L135" s="198"/>
      <c r="M135" s="196">
        <f t="shared" si="50"/>
        <v>0</v>
      </c>
      <c r="N135" s="33"/>
      <c r="O135" s="41"/>
      <c r="P135" s="251">
        <f t="shared" si="78"/>
        <v>0</v>
      </c>
      <c r="Q135" s="230">
        <f t="shared" si="77"/>
        <v>0</v>
      </c>
      <c r="R135" s="41"/>
      <c r="S135" s="198"/>
      <c r="T135" s="265"/>
      <c r="U135" s="210">
        <f t="shared" si="46"/>
        <v>0</v>
      </c>
      <c r="V135" s="36">
        <f t="shared" si="72"/>
        <v>0</v>
      </c>
      <c r="W135" s="36">
        <f t="shared" si="73"/>
        <v>0</v>
      </c>
      <c r="X135" s="230">
        <f t="shared" si="75"/>
        <v>0</v>
      </c>
      <c r="Y135" s="43">
        <f t="shared" si="74"/>
        <v>0</v>
      </c>
      <c r="Z135" s="250">
        <f t="shared" si="39"/>
        <v>0</v>
      </c>
      <c r="AA135" s="174">
        <f t="shared" si="40"/>
        <v>0</v>
      </c>
    </row>
    <row r="136" spans="1:27" s="117" customFormat="1" ht="9.9499999999999993" hidden="1" customHeight="1" x14ac:dyDescent="0.15">
      <c r="A136" s="142"/>
      <c r="B136" s="212"/>
      <c r="C136" s="145"/>
      <c r="D136" s="41"/>
      <c r="E136" s="273"/>
      <c r="F136" s="196"/>
      <c r="G136" s="258">
        <f t="shared" si="36"/>
        <v>0</v>
      </c>
      <c r="H136" s="246">
        <f t="shared" si="37"/>
        <v>0</v>
      </c>
      <c r="I136" s="200">
        <f t="shared" si="52"/>
        <v>0</v>
      </c>
      <c r="J136" s="230"/>
      <c r="K136" s="43"/>
      <c r="L136" s="198"/>
      <c r="M136" s="196"/>
      <c r="N136" s="33"/>
      <c r="O136" s="43"/>
      <c r="P136" s="251">
        <f t="shared" si="78"/>
        <v>0</v>
      </c>
      <c r="Q136" s="230">
        <f t="shared" si="77"/>
        <v>0</v>
      </c>
      <c r="R136" s="43"/>
      <c r="S136" s="198"/>
      <c r="T136" s="265"/>
      <c r="U136" s="210">
        <f t="shared" si="46"/>
        <v>0</v>
      </c>
      <c r="V136" s="36"/>
      <c r="W136" s="36"/>
      <c r="X136" s="230">
        <f t="shared" si="75"/>
        <v>0</v>
      </c>
      <c r="Y136" s="43">
        <f t="shared" si="74"/>
        <v>0</v>
      </c>
      <c r="Z136" s="250">
        <f t="shared" si="39"/>
        <v>0</v>
      </c>
      <c r="AA136" s="174">
        <f t="shared" si="40"/>
        <v>0</v>
      </c>
    </row>
    <row r="137" spans="1:27" s="117" customFormat="1" ht="9" hidden="1" customHeight="1" x14ac:dyDescent="0.15">
      <c r="A137" s="152"/>
      <c r="B137" s="212"/>
      <c r="C137" s="140"/>
      <c r="D137" s="41">
        <f t="shared" si="53"/>
        <v>0</v>
      </c>
      <c r="E137" s="273"/>
      <c r="F137" s="195">
        <f t="shared" si="45"/>
        <v>0</v>
      </c>
      <c r="G137" s="258">
        <f t="shared" si="36"/>
        <v>0</v>
      </c>
      <c r="H137" s="246">
        <f t="shared" si="37"/>
        <v>0</v>
      </c>
      <c r="I137" s="200">
        <f t="shared" si="52"/>
        <v>0</v>
      </c>
      <c r="J137" s="231"/>
      <c r="K137" s="41">
        <f t="shared" si="56"/>
        <v>0</v>
      </c>
      <c r="L137" s="198"/>
      <c r="M137" s="195">
        <f t="shared" si="50"/>
        <v>0</v>
      </c>
      <c r="N137" s="33"/>
      <c r="O137" s="41"/>
      <c r="P137" s="251">
        <f t="shared" si="78"/>
        <v>0</v>
      </c>
      <c r="Q137" s="230">
        <f t="shared" si="77"/>
        <v>0</v>
      </c>
      <c r="R137" s="41"/>
      <c r="S137" s="198"/>
      <c r="T137" s="265"/>
      <c r="U137" s="210">
        <f t="shared" si="46"/>
        <v>0</v>
      </c>
      <c r="V137" s="33"/>
      <c r="W137" s="33"/>
      <c r="X137" s="230"/>
      <c r="Y137" s="41"/>
      <c r="Z137" s="250">
        <f t="shared" si="39"/>
        <v>0</v>
      </c>
      <c r="AA137" s="174">
        <f t="shared" si="40"/>
        <v>0</v>
      </c>
    </row>
    <row r="138" spans="1:27" s="179" customFormat="1" x14ac:dyDescent="0.15">
      <c r="A138" s="168" t="s">
        <v>85</v>
      </c>
      <c r="B138" s="216">
        <f>B139+B141+B140+B142+B143</f>
        <v>11.13</v>
      </c>
      <c r="C138" s="170">
        <f t="shared" ref="C138:C150" si="79">D138/1000</f>
        <v>20786.474694383203</v>
      </c>
      <c r="D138" s="41">
        <f t="shared" si="53"/>
        <v>20786474.694383204</v>
      </c>
      <c r="E138" s="195">
        <f>SUM(E139:E143)</f>
        <v>16378094.24</v>
      </c>
      <c r="F138" s="191">
        <f t="shared" si="45"/>
        <v>19475.05125</v>
      </c>
      <c r="G138" s="258">
        <f t="shared" ref="G138:G157" si="80">L138/4*3</f>
        <v>19475051.25</v>
      </c>
      <c r="H138" s="256">
        <f t="shared" ref="H138:H155" si="81">L138-I138</f>
        <v>5875335</v>
      </c>
      <c r="I138" s="198">
        <f>SUM(I139:I143)</f>
        <v>20091400</v>
      </c>
      <c r="J138" s="191">
        <f>SUM(J139:J143)</f>
        <v>25549.899000000001</v>
      </c>
      <c r="K138" s="191">
        <f t="shared" si="56"/>
        <v>25966.735000000001</v>
      </c>
      <c r="L138" s="191">
        <f>SUM(L139:L143)</f>
        <v>25966735</v>
      </c>
      <c r="M138" s="191">
        <f>T138/1000*-1</f>
        <v>-50235.016050000006</v>
      </c>
      <c r="N138" s="171">
        <f>N139+N141+N140+N142</f>
        <v>0</v>
      </c>
      <c r="O138" s="171">
        <f t="shared" ref="O138:O150" si="82">P138/1000*-1</f>
        <v>-52725</v>
      </c>
      <c r="P138" s="251">
        <f t="shared" si="78"/>
        <v>52725000</v>
      </c>
      <c r="Q138" s="191">
        <f>SUM(Q139:Q143)</f>
        <v>-68200</v>
      </c>
      <c r="R138" s="171">
        <f t="shared" ref="R138:R150" si="83">S138/1000*-1</f>
        <v>-70300</v>
      </c>
      <c r="S138" s="191">
        <f>SUM(S139:S143)</f>
        <v>70300000</v>
      </c>
      <c r="T138" s="191">
        <f>SUM(T139:T143)</f>
        <v>50235016.050000004</v>
      </c>
      <c r="U138" s="210">
        <f>SUM(U139:U143)</f>
        <v>4408380.4543832056</v>
      </c>
      <c r="V138" s="173">
        <f t="shared" ref="V138:V150" si="84">C138+M138</f>
        <v>-29448.541355616802</v>
      </c>
      <c r="W138" s="173">
        <f t="shared" ref="W138:W150" si="85">F138+O138</f>
        <v>-33249.948749999996</v>
      </c>
      <c r="X138" s="198">
        <f t="shared" ref="X138:Y150" si="86">J138+Q138</f>
        <v>-42650.100999999995</v>
      </c>
      <c r="Y138" s="171">
        <f t="shared" si="86"/>
        <v>-44333.264999999999</v>
      </c>
      <c r="Z138" s="250">
        <f t="shared" ref="Z138:Z157" si="87">J138-C138</f>
        <v>4763.4243056167979</v>
      </c>
      <c r="AA138" s="174">
        <f t="shared" ref="AA138:AA157" si="88">M138-Q138</f>
        <v>17964.983949999994</v>
      </c>
    </row>
    <row r="139" spans="1:27" s="118" customFormat="1" ht="9.9499999999999993" customHeight="1" x14ac:dyDescent="0.15">
      <c r="A139" s="152" t="s">
        <v>326</v>
      </c>
      <c r="B139" s="212">
        <f>3.2</f>
        <v>3.2</v>
      </c>
      <c r="C139" s="145">
        <f t="shared" si="79"/>
        <v>8978.4511307480916</v>
      </c>
      <c r="D139" s="260">
        <f t="shared" si="53"/>
        <v>8978451.1307480913</v>
      </c>
      <c r="E139" s="274">
        <f>2643922.28+535037.65+2321037.05+173732.95+26849.5+84655.49+1925757.32</f>
        <v>7710992.2400000002</v>
      </c>
      <c r="F139" s="196">
        <f t="shared" si="45"/>
        <v>7840.5562499999996</v>
      </c>
      <c r="G139" s="258">
        <f t="shared" si="80"/>
        <v>7840556.25</v>
      </c>
      <c r="H139" s="246">
        <f t="shared" si="81"/>
        <v>1689225</v>
      </c>
      <c r="I139" s="200">
        <f>L139-1689225</f>
        <v>8764850</v>
      </c>
      <c r="J139" s="230">
        <f>K139</f>
        <v>10454.075000000001</v>
      </c>
      <c r="K139" s="43">
        <f t="shared" si="56"/>
        <v>10454.075000000001</v>
      </c>
      <c r="L139" s="200">
        <v>10454075</v>
      </c>
      <c r="M139" s="196">
        <f t="shared" si="50"/>
        <v>-43624.182590000004</v>
      </c>
      <c r="N139" s="36"/>
      <c r="O139" s="43">
        <f t="shared" si="82"/>
        <v>-45075</v>
      </c>
      <c r="P139" s="251">
        <f t="shared" si="78"/>
        <v>45075000</v>
      </c>
      <c r="Q139" s="230">
        <v>-59400</v>
      </c>
      <c r="R139" s="43">
        <f t="shared" si="83"/>
        <v>-60100</v>
      </c>
      <c r="S139" s="200">
        <v>60100000</v>
      </c>
      <c r="T139" s="266">
        <f>43624182.59</f>
        <v>43624182.590000004</v>
      </c>
      <c r="U139" s="227">
        <f t="shared" si="46"/>
        <v>1267458.8907480917</v>
      </c>
      <c r="V139" s="36">
        <f t="shared" si="84"/>
        <v>-34645.731459251911</v>
      </c>
      <c r="W139" s="36">
        <f t="shared" si="85"/>
        <v>-37234.443749999999</v>
      </c>
      <c r="X139" s="230">
        <f t="shared" si="86"/>
        <v>-48945.925000000003</v>
      </c>
      <c r="Y139" s="43">
        <f t="shared" si="86"/>
        <v>-49645.925000000003</v>
      </c>
      <c r="Z139" s="250">
        <f t="shared" si="87"/>
        <v>1475.6238692519091</v>
      </c>
      <c r="AA139" s="174">
        <f t="shared" si="88"/>
        <v>15775.817409999996</v>
      </c>
    </row>
    <row r="140" spans="1:27" s="118" customFormat="1" ht="9.9499999999999993" hidden="1" customHeight="1" x14ac:dyDescent="0.15">
      <c r="A140" s="152" t="s">
        <v>327</v>
      </c>
      <c r="B140" s="212">
        <v>0</v>
      </c>
      <c r="C140" s="145">
        <f t="shared" si="79"/>
        <v>0</v>
      </c>
      <c r="D140" s="260">
        <f t="shared" si="53"/>
        <v>0</v>
      </c>
      <c r="E140" s="274"/>
      <c r="F140" s="196">
        <f t="shared" si="45"/>
        <v>0</v>
      </c>
      <c r="G140" s="258">
        <f t="shared" si="80"/>
        <v>0</v>
      </c>
      <c r="H140" s="246">
        <f t="shared" si="81"/>
        <v>0</v>
      </c>
      <c r="I140" s="200">
        <f t="shared" si="52"/>
        <v>0</v>
      </c>
      <c r="J140" s="230">
        <f t="shared" ref="J140:J141" si="89">K140</f>
        <v>0</v>
      </c>
      <c r="K140" s="43">
        <f t="shared" si="56"/>
        <v>0</v>
      </c>
      <c r="L140" s="200">
        <v>0</v>
      </c>
      <c r="M140" s="196">
        <f t="shared" si="50"/>
        <v>0</v>
      </c>
      <c r="N140" s="36"/>
      <c r="O140" s="43">
        <f t="shared" si="82"/>
        <v>0</v>
      </c>
      <c r="P140" s="251">
        <f t="shared" si="78"/>
        <v>0</v>
      </c>
      <c r="Q140" s="230">
        <f t="shared" ref="Q140:Q141" si="90">R140</f>
        <v>0</v>
      </c>
      <c r="R140" s="43">
        <f t="shared" si="83"/>
        <v>0</v>
      </c>
      <c r="S140" s="200"/>
      <c r="T140" s="266"/>
      <c r="U140" s="227">
        <f t="shared" si="46"/>
        <v>0</v>
      </c>
      <c r="V140" s="36">
        <f t="shared" si="84"/>
        <v>0</v>
      </c>
      <c r="W140" s="36">
        <f t="shared" si="85"/>
        <v>0</v>
      </c>
      <c r="X140" s="230">
        <f t="shared" si="86"/>
        <v>0</v>
      </c>
      <c r="Y140" s="43">
        <f t="shared" si="86"/>
        <v>0</v>
      </c>
      <c r="Z140" s="250">
        <f t="shared" si="87"/>
        <v>0</v>
      </c>
      <c r="AA140" s="174">
        <f t="shared" si="88"/>
        <v>0</v>
      </c>
    </row>
    <row r="141" spans="1:27" s="118" customFormat="1" ht="11.25" customHeight="1" x14ac:dyDescent="0.15">
      <c r="A141" s="152" t="s">
        <v>328</v>
      </c>
      <c r="B141" s="212">
        <v>4.83</v>
      </c>
      <c r="C141" s="145">
        <f t="shared" si="79"/>
        <v>9636.1984632228996</v>
      </c>
      <c r="D141" s="260">
        <f t="shared" si="53"/>
        <v>9636198.4632229004</v>
      </c>
      <c r="E141" s="274">
        <f>804056.9+10056.4+13345.95+8768.5+3034+6743128.92+68501.68+10769.49+61465.86</f>
        <v>7723127.7000000002</v>
      </c>
      <c r="F141" s="196">
        <f t="shared" si="45"/>
        <v>9071.8680000000004</v>
      </c>
      <c r="G141" s="258">
        <f t="shared" si="80"/>
        <v>9071868</v>
      </c>
      <c r="H141" s="246">
        <f t="shared" si="81"/>
        <v>2549674</v>
      </c>
      <c r="I141" s="200">
        <f>L141-2549674</f>
        <v>9546150</v>
      </c>
      <c r="J141" s="230">
        <f t="shared" si="89"/>
        <v>12095.824000000001</v>
      </c>
      <c r="K141" s="43">
        <f t="shared" si="56"/>
        <v>12095.824000000001</v>
      </c>
      <c r="L141" s="200">
        <v>12095824</v>
      </c>
      <c r="M141" s="196">
        <f>T141/1000*-1</f>
        <v>0</v>
      </c>
      <c r="N141" s="36"/>
      <c r="O141" s="43">
        <f t="shared" si="82"/>
        <v>0</v>
      </c>
      <c r="P141" s="251">
        <f t="shared" si="78"/>
        <v>0</v>
      </c>
      <c r="Q141" s="230">
        <f t="shared" si="90"/>
        <v>0</v>
      </c>
      <c r="R141" s="43">
        <f t="shared" si="83"/>
        <v>0</v>
      </c>
      <c r="S141" s="200"/>
      <c r="T141" s="266"/>
      <c r="U141" s="227">
        <f t="shared" si="46"/>
        <v>1913070.7632229007</v>
      </c>
      <c r="V141" s="36">
        <f t="shared" si="84"/>
        <v>9636.1984632228996</v>
      </c>
      <c r="W141" s="36">
        <f t="shared" si="85"/>
        <v>9071.8680000000004</v>
      </c>
      <c r="X141" s="230">
        <f t="shared" si="86"/>
        <v>12095.824000000001</v>
      </c>
      <c r="Y141" s="43">
        <f t="shared" si="86"/>
        <v>12095.824000000001</v>
      </c>
      <c r="Z141" s="250">
        <f t="shared" si="87"/>
        <v>2459.6255367771009</v>
      </c>
      <c r="AA141" s="174">
        <f t="shared" si="88"/>
        <v>0</v>
      </c>
    </row>
    <row r="142" spans="1:27" s="118" customFormat="1" ht="11.25" customHeight="1" x14ac:dyDescent="0.15">
      <c r="A142" s="152" t="s">
        <v>330</v>
      </c>
      <c r="B142" s="212">
        <v>1.9</v>
      </c>
      <c r="C142" s="145">
        <f t="shared" si="79"/>
        <v>1341.9366663816795</v>
      </c>
      <c r="D142" s="260">
        <f t="shared" si="53"/>
        <v>1341936.6663816795</v>
      </c>
      <c r="E142" s="274">
        <f>128979.86+53788.75+4250.09+6944.75+395419.5</f>
        <v>589382.94999999995</v>
      </c>
      <c r="F142" s="196">
        <f t="shared" si="45"/>
        <v>1862.5327500000001</v>
      </c>
      <c r="G142" s="258">
        <f t="shared" si="80"/>
        <v>1862532.75</v>
      </c>
      <c r="H142" s="246">
        <f t="shared" si="81"/>
        <v>1002977</v>
      </c>
      <c r="I142" s="200">
        <f>L142-1002977</f>
        <v>1480400</v>
      </c>
      <c r="J142" s="230">
        <v>2000</v>
      </c>
      <c r="K142" s="43">
        <f t="shared" si="56"/>
        <v>2483.377</v>
      </c>
      <c r="L142" s="200">
        <v>2483377</v>
      </c>
      <c r="M142" s="196">
        <f t="shared" ref="M142:M157" si="91">T142/1000*-1</f>
        <v>-6093.5410600000005</v>
      </c>
      <c r="N142" s="36"/>
      <c r="O142" s="43">
        <f t="shared" si="82"/>
        <v>-6375</v>
      </c>
      <c r="P142" s="251">
        <f t="shared" si="78"/>
        <v>6375000</v>
      </c>
      <c r="Q142" s="230">
        <f>R142+1000</f>
        <v>-7500</v>
      </c>
      <c r="R142" s="43">
        <f t="shared" si="83"/>
        <v>-8500</v>
      </c>
      <c r="S142" s="200">
        <v>8500000</v>
      </c>
      <c r="T142" s="266">
        <f>9000+4731108.04+25000+7462.5+23400+527285.53+22512.55+747772.44</f>
        <v>6093541.0600000005</v>
      </c>
      <c r="U142" s="227">
        <f t="shared" si="46"/>
        <v>752553.71638167941</v>
      </c>
      <c r="V142" s="36">
        <f t="shared" si="84"/>
        <v>-4751.6043936183214</v>
      </c>
      <c r="W142" s="36">
        <f t="shared" si="85"/>
        <v>-4512.4672499999997</v>
      </c>
      <c r="X142" s="230">
        <f t="shared" si="86"/>
        <v>-5500</v>
      </c>
      <c r="Y142" s="43">
        <f t="shared" si="86"/>
        <v>-6016.6229999999996</v>
      </c>
      <c r="Z142" s="250">
        <f t="shared" si="87"/>
        <v>658.06333361832048</v>
      </c>
      <c r="AA142" s="174">
        <f t="shared" si="88"/>
        <v>1406.4589399999995</v>
      </c>
    </row>
    <row r="143" spans="1:27" s="118" customFormat="1" ht="10.5" customHeight="1" x14ac:dyDescent="0.15">
      <c r="A143" s="152" t="s">
        <v>331</v>
      </c>
      <c r="B143" s="212">
        <v>1.2</v>
      </c>
      <c r="C143" s="145">
        <f t="shared" si="79"/>
        <v>829.8884340305342</v>
      </c>
      <c r="D143" s="191">
        <f t="shared" si="53"/>
        <v>829888.43403053423</v>
      </c>
      <c r="E143" s="274">
        <f>108904.47+99637.7-3968+146902.14+3115.04</f>
        <v>354591.35</v>
      </c>
      <c r="F143" s="196">
        <f t="shared" si="45"/>
        <v>700.09424999999999</v>
      </c>
      <c r="G143" s="258">
        <f t="shared" si="80"/>
        <v>700094.25</v>
      </c>
      <c r="H143" s="246">
        <f t="shared" si="81"/>
        <v>633459</v>
      </c>
      <c r="I143" s="200">
        <f>L143-633459</f>
        <v>300000</v>
      </c>
      <c r="J143" s="230">
        <v>1000</v>
      </c>
      <c r="K143" s="43">
        <f t="shared" si="56"/>
        <v>933.45899999999995</v>
      </c>
      <c r="L143" s="200">
        <v>933459</v>
      </c>
      <c r="M143" s="196">
        <f t="shared" si="91"/>
        <v>-517.29240000000004</v>
      </c>
      <c r="N143" s="33"/>
      <c r="O143" s="43">
        <f t="shared" si="82"/>
        <v>-1275</v>
      </c>
      <c r="P143" s="251">
        <f t="shared" si="78"/>
        <v>1275000</v>
      </c>
      <c r="Q143" s="230">
        <f>R143+400</f>
        <v>-1300</v>
      </c>
      <c r="R143" s="43">
        <f t="shared" si="83"/>
        <v>-1700</v>
      </c>
      <c r="S143" s="200">
        <v>1700000</v>
      </c>
      <c r="T143" s="266">
        <f>62496+324599.4+130197</f>
        <v>517292.4</v>
      </c>
      <c r="U143" s="227">
        <f t="shared" si="46"/>
        <v>475297.08403053432</v>
      </c>
      <c r="V143" s="36">
        <f t="shared" si="84"/>
        <v>312.59603403053416</v>
      </c>
      <c r="W143" s="36">
        <f t="shared" si="85"/>
        <v>-574.90575000000001</v>
      </c>
      <c r="X143" s="230">
        <f t="shared" si="86"/>
        <v>-300</v>
      </c>
      <c r="Y143" s="43">
        <f t="shared" si="86"/>
        <v>-766.54100000000005</v>
      </c>
      <c r="Z143" s="250">
        <f t="shared" si="87"/>
        <v>170.1115659694658</v>
      </c>
      <c r="AA143" s="174">
        <f t="shared" si="88"/>
        <v>782.70759999999996</v>
      </c>
    </row>
    <row r="144" spans="1:27" s="184" customFormat="1" x14ac:dyDescent="0.15">
      <c r="A144" s="183" t="s">
        <v>86</v>
      </c>
      <c r="B144" s="216">
        <f>B145+B146+B147+B148+B149+B150</f>
        <v>6.65</v>
      </c>
      <c r="C144" s="170">
        <f t="shared" si="79"/>
        <v>9679.0318173358773</v>
      </c>
      <c r="D144" s="41">
        <f t="shared" si="53"/>
        <v>9679031.8173358776</v>
      </c>
      <c r="E144" s="195">
        <f>SUM(E145:E150)</f>
        <v>7045093.8100000005</v>
      </c>
      <c r="F144" s="191">
        <f t="shared" si="45"/>
        <v>8785.0657499999998</v>
      </c>
      <c r="G144" s="258">
        <f t="shared" si="80"/>
        <v>8785065.75</v>
      </c>
      <c r="H144" s="256">
        <f t="shared" si="81"/>
        <v>3510421</v>
      </c>
      <c r="I144" s="198">
        <f>SUM(I145:I150)</f>
        <v>8203000</v>
      </c>
      <c r="J144" s="191">
        <f>SUM(J145:J150)</f>
        <v>11418.407000000001</v>
      </c>
      <c r="K144" s="191">
        <f t="shared" si="56"/>
        <v>11713.421</v>
      </c>
      <c r="L144" s="191">
        <f>SUM(L145:L151)</f>
        <v>11713421</v>
      </c>
      <c r="M144" s="191">
        <f t="shared" si="91"/>
        <v>-151.46766999999997</v>
      </c>
      <c r="N144" s="191">
        <f>N145+N146+N147+N148+N149+N150</f>
        <v>0</v>
      </c>
      <c r="O144" s="191">
        <f t="shared" si="82"/>
        <v>-570</v>
      </c>
      <c r="P144" s="251">
        <f t="shared" si="78"/>
        <v>570000</v>
      </c>
      <c r="Q144" s="191">
        <f>SUM(Q145:Q150)</f>
        <v>-500</v>
      </c>
      <c r="R144" s="171">
        <f t="shared" si="83"/>
        <v>-760</v>
      </c>
      <c r="S144" s="191">
        <f>SUM(S145:S151)</f>
        <v>760000</v>
      </c>
      <c r="T144" s="191">
        <f>T145+T146+T147+T148+T149+T150</f>
        <v>151467.66999999998</v>
      </c>
      <c r="U144" s="210">
        <f>SUM(U145:U150)</f>
        <v>2633938.0073358775</v>
      </c>
      <c r="V144" s="173">
        <f t="shared" si="84"/>
        <v>9527.5641473358774</v>
      </c>
      <c r="W144" s="173">
        <f t="shared" si="85"/>
        <v>8215.0657499999998</v>
      </c>
      <c r="X144" s="198">
        <f t="shared" si="86"/>
        <v>10918.407000000001</v>
      </c>
      <c r="Y144" s="171">
        <f t="shared" si="86"/>
        <v>10953.421</v>
      </c>
      <c r="Z144" s="250">
        <f t="shared" si="87"/>
        <v>1739.3751826641237</v>
      </c>
      <c r="AA144" s="174">
        <f t="shared" si="88"/>
        <v>348.53233</v>
      </c>
    </row>
    <row r="145" spans="1:27" s="118" customFormat="1" ht="9.9499999999999993" customHeight="1" x14ac:dyDescent="0.15">
      <c r="A145" s="142" t="s">
        <v>332</v>
      </c>
      <c r="B145" s="212">
        <v>0.65</v>
      </c>
      <c r="C145" s="145">
        <f t="shared" si="79"/>
        <v>512.91703718320616</v>
      </c>
      <c r="D145" s="260">
        <f t="shared" si="53"/>
        <v>512917.03718320612</v>
      </c>
      <c r="E145" s="274">
        <v>255464.45</v>
      </c>
      <c r="F145" s="196">
        <f t="shared" si="45"/>
        <v>407.34300000000002</v>
      </c>
      <c r="G145" s="258">
        <f t="shared" si="80"/>
        <v>407343</v>
      </c>
      <c r="H145" s="246">
        <f t="shared" si="81"/>
        <v>343124</v>
      </c>
      <c r="I145" s="200">
        <f>L145-343124</f>
        <v>200000</v>
      </c>
      <c r="J145" s="230">
        <v>650</v>
      </c>
      <c r="K145" s="43">
        <f t="shared" si="56"/>
        <v>543.12400000000002</v>
      </c>
      <c r="L145" s="200">
        <v>543124</v>
      </c>
      <c r="M145" s="196">
        <f t="shared" si="91"/>
        <v>0</v>
      </c>
      <c r="N145" s="36"/>
      <c r="O145" s="43">
        <f t="shared" si="82"/>
        <v>0</v>
      </c>
      <c r="P145" s="251">
        <f t="shared" si="78"/>
        <v>0</v>
      </c>
      <c r="Q145" s="230">
        <f>R145</f>
        <v>0</v>
      </c>
      <c r="R145" s="43">
        <f t="shared" si="83"/>
        <v>0</v>
      </c>
      <c r="S145" s="200"/>
      <c r="T145" s="266"/>
      <c r="U145" s="227">
        <f t="shared" si="46"/>
        <v>257452.58718320611</v>
      </c>
      <c r="V145" s="36">
        <f t="shared" si="84"/>
        <v>512.91703718320616</v>
      </c>
      <c r="W145" s="36">
        <f t="shared" si="85"/>
        <v>407.34300000000002</v>
      </c>
      <c r="X145" s="230">
        <f t="shared" si="86"/>
        <v>650</v>
      </c>
      <c r="Y145" s="43">
        <f t="shared" si="86"/>
        <v>543.12400000000002</v>
      </c>
      <c r="Z145" s="250">
        <f t="shared" si="87"/>
        <v>137.08296281679384</v>
      </c>
      <c r="AA145" s="174">
        <f t="shared" si="88"/>
        <v>0</v>
      </c>
    </row>
    <row r="146" spans="1:27" s="118" customFormat="1" ht="9.9499999999999993" customHeight="1" x14ac:dyDescent="0.15">
      <c r="A146" s="142" t="s">
        <v>333</v>
      </c>
      <c r="B146" s="212">
        <v>0.25</v>
      </c>
      <c r="C146" s="145">
        <f t="shared" si="79"/>
        <v>770.89409583969461</v>
      </c>
      <c r="D146" s="260">
        <f t="shared" si="53"/>
        <v>770894.09583969461</v>
      </c>
      <c r="E146" s="274">
        <f>651.3+671222.57</f>
        <v>671873.87</v>
      </c>
      <c r="F146" s="196">
        <f t="shared" si="45"/>
        <v>1031.2282499999999</v>
      </c>
      <c r="G146" s="258">
        <f t="shared" si="80"/>
        <v>1031228.25</v>
      </c>
      <c r="H146" s="246">
        <f t="shared" si="81"/>
        <v>131971</v>
      </c>
      <c r="I146" s="200">
        <f>L146-131971</f>
        <v>1243000</v>
      </c>
      <c r="J146" s="230">
        <v>1300</v>
      </c>
      <c r="K146" s="43">
        <f t="shared" si="56"/>
        <v>1374.971</v>
      </c>
      <c r="L146" s="200">
        <v>1374971</v>
      </c>
      <c r="M146" s="196">
        <f t="shared" si="91"/>
        <v>0</v>
      </c>
      <c r="N146" s="36"/>
      <c r="O146" s="43">
        <f t="shared" si="82"/>
        <v>-150</v>
      </c>
      <c r="P146" s="251">
        <f t="shared" si="78"/>
        <v>150000</v>
      </c>
      <c r="Q146" s="230">
        <f t="shared" ref="Q146:Q150" si="92">R146</f>
        <v>-200</v>
      </c>
      <c r="R146" s="43">
        <f t="shared" si="83"/>
        <v>-200</v>
      </c>
      <c r="S146" s="200">
        <v>200000</v>
      </c>
      <c r="T146" s="266"/>
      <c r="U146" s="227">
        <f t="shared" si="46"/>
        <v>99020.225839694656</v>
      </c>
      <c r="V146" s="36">
        <f t="shared" si="84"/>
        <v>770.89409583969461</v>
      </c>
      <c r="W146" s="36">
        <f t="shared" si="85"/>
        <v>881.22824999999989</v>
      </c>
      <c r="X146" s="230">
        <f t="shared" si="86"/>
        <v>1100</v>
      </c>
      <c r="Y146" s="43">
        <f t="shared" si="86"/>
        <v>1174.971</v>
      </c>
      <c r="Z146" s="250">
        <f t="shared" si="87"/>
        <v>529.10590416030539</v>
      </c>
      <c r="AA146" s="174">
        <f t="shared" si="88"/>
        <v>200</v>
      </c>
    </row>
    <row r="147" spans="1:27" s="118" customFormat="1" ht="9.9499999999999993" customHeight="1" x14ac:dyDescent="0.15">
      <c r="A147" s="142" t="s">
        <v>334</v>
      </c>
      <c r="B147" s="212">
        <v>0.7</v>
      </c>
      <c r="C147" s="145">
        <f t="shared" si="79"/>
        <v>277.25663235114502</v>
      </c>
      <c r="D147" s="260">
        <f>E147+U147</f>
        <v>277256.63235114503</v>
      </c>
      <c r="E147" s="274"/>
      <c r="F147" s="196">
        <f t="shared" si="45"/>
        <v>277.13850000000002</v>
      </c>
      <c r="G147" s="258">
        <f t="shared" si="80"/>
        <v>277138.5</v>
      </c>
      <c r="H147" s="246">
        <f t="shared" si="81"/>
        <v>369518</v>
      </c>
      <c r="I147" s="200">
        <f>L147-369518</f>
        <v>0</v>
      </c>
      <c r="J147" s="230">
        <f t="shared" ref="J147:J151" si="93">K147</f>
        <v>369.51799999999997</v>
      </c>
      <c r="K147" s="43">
        <f t="shared" si="56"/>
        <v>369.51799999999997</v>
      </c>
      <c r="L147" s="200">
        <v>369518</v>
      </c>
      <c r="M147" s="196">
        <f t="shared" si="91"/>
        <v>0</v>
      </c>
      <c r="N147" s="36"/>
      <c r="O147" s="43">
        <f t="shared" si="82"/>
        <v>0</v>
      </c>
      <c r="P147" s="251">
        <f t="shared" si="78"/>
        <v>0</v>
      </c>
      <c r="Q147" s="230">
        <f t="shared" si="92"/>
        <v>0</v>
      </c>
      <c r="R147" s="43">
        <f t="shared" si="83"/>
        <v>0</v>
      </c>
      <c r="S147" s="200"/>
      <c r="T147" s="266"/>
      <c r="U147" s="227">
        <f t="shared" si="46"/>
        <v>277256.63235114503</v>
      </c>
      <c r="V147" s="36">
        <f t="shared" si="84"/>
        <v>277.25663235114502</v>
      </c>
      <c r="W147" s="36">
        <f t="shared" si="85"/>
        <v>277.13850000000002</v>
      </c>
      <c r="X147" s="230">
        <f t="shared" si="86"/>
        <v>369.51799999999997</v>
      </c>
      <c r="Y147" s="43">
        <f t="shared" si="86"/>
        <v>369.51799999999997</v>
      </c>
      <c r="Z147" s="250">
        <f t="shared" si="87"/>
        <v>92.261367648854957</v>
      </c>
      <c r="AA147" s="174">
        <f t="shared" si="88"/>
        <v>0</v>
      </c>
    </row>
    <row r="148" spans="1:27" s="118" customFormat="1" ht="9.9499999999999993" customHeight="1" x14ac:dyDescent="0.15">
      <c r="A148" s="142" t="s">
        <v>335</v>
      </c>
      <c r="B148" s="212">
        <v>2.4</v>
      </c>
      <c r="C148" s="145">
        <f t="shared" si="79"/>
        <v>2690.2544280610687</v>
      </c>
      <c r="D148" s="260">
        <f t="shared" si="53"/>
        <v>2690254.4280610685</v>
      </c>
      <c r="E148" s="274">
        <f>13731.67+1671627.82+54300.77</f>
        <v>1739660.26</v>
      </c>
      <c r="F148" s="196">
        <f t="shared" si="45"/>
        <v>2270.1892499999999</v>
      </c>
      <c r="G148" s="258">
        <f t="shared" si="80"/>
        <v>2270189.25</v>
      </c>
      <c r="H148" s="246">
        <f t="shared" si="81"/>
        <v>1266919</v>
      </c>
      <c r="I148" s="200">
        <f>L148-1266919</f>
        <v>1760000</v>
      </c>
      <c r="J148" s="230">
        <v>3200</v>
      </c>
      <c r="K148" s="43">
        <f t="shared" si="56"/>
        <v>3026.9189999999999</v>
      </c>
      <c r="L148" s="200">
        <v>3026919</v>
      </c>
      <c r="M148" s="196">
        <f t="shared" si="91"/>
        <v>-151.46766999999997</v>
      </c>
      <c r="N148" s="36"/>
      <c r="O148" s="43">
        <f t="shared" si="82"/>
        <v>0</v>
      </c>
      <c r="P148" s="251">
        <f t="shared" si="78"/>
        <v>0</v>
      </c>
      <c r="Q148" s="230">
        <v>-300</v>
      </c>
      <c r="R148" s="43">
        <f t="shared" si="83"/>
        <v>0</v>
      </c>
      <c r="S148" s="200"/>
      <c r="T148" s="266">
        <f>98387.67+17080+36000</f>
        <v>151467.66999999998</v>
      </c>
      <c r="U148" s="227">
        <f t="shared" si="46"/>
        <v>950594.16806106863</v>
      </c>
      <c r="V148" s="36">
        <f t="shared" si="84"/>
        <v>2538.7867580610687</v>
      </c>
      <c r="W148" s="36">
        <f t="shared" si="85"/>
        <v>2270.1892499999999</v>
      </c>
      <c r="X148" s="230">
        <f t="shared" si="86"/>
        <v>2900</v>
      </c>
      <c r="Y148" s="43">
        <f t="shared" si="86"/>
        <v>3026.9189999999999</v>
      </c>
      <c r="Z148" s="250">
        <f t="shared" si="87"/>
        <v>509.74557193893133</v>
      </c>
      <c r="AA148" s="174">
        <f t="shared" si="88"/>
        <v>148.53233000000003</v>
      </c>
    </row>
    <row r="149" spans="1:27" s="118" customFormat="1" ht="9.9499999999999993" customHeight="1" x14ac:dyDescent="0.15">
      <c r="A149" s="142" t="s">
        <v>336</v>
      </c>
      <c r="B149" s="212">
        <v>1.55</v>
      </c>
      <c r="C149" s="145">
        <f t="shared" si="79"/>
        <v>3162.1418202061068</v>
      </c>
      <c r="D149" s="260">
        <f t="shared" si="53"/>
        <v>3162141.8202061066</v>
      </c>
      <c r="E149" s="274">
        <f>2537080.92+4520.1+72+160+6383.4</f>
        <v>2548216.42</v>
      </c>
      <c r="F149" s="196">
        <f t="shared" si="45"/>
        <v>3069.9135000000001</v>
      </c>
      <c r="G149" s="258">
        <f t="shared" si="80"/>
        <v>3069913.5</v>
      </c>
      <c r="H149" s="246">
        <f t="shared" si="81"/>
        <v>818218</v>
      </c>
      <c r="I149" s="200">
        <f>L149-818218</f>
        <v>3275000</v>
      </c>
      <c r="J149" s="230">
        <f>K149-500</f>
        <v>3593.2179999999998</v>
      </c>
      <c r="K149" s="43">
        <f t="shared" si="56"/>
        <v>4093.2179999999998</v>
      </c>
      <c r="L149" s="200">
        <v>4093218</v>
      </c>
      <c r="M149" s="196">
        <f t="shared" si="91"/>
        <v>0</v>
      </c>
      <c r="N149" s="36"/>
      <c r="O149" s="43">
        <f t="shared" si="82"/>
        <v>-420</v>
      </c>
      <c r="P149" s="251">
        <f t="shared" si="78"/>
        <v>420000</v>
      </c>
      <c r="Q149" s="230">
        <f>R149+560</f>
        <v>0</v>
      </c>
      <c r="R149" s="43">
        <f t="shared" si="83"/>
        <v>-560</v>
      </c>
      <c r="S149" s="200">
        <v>560000</v>
      </c>
      <c r="T149" s="266"/>
      <c r="U149" s="227">
        <f t="shared" si="46"/>
        <v>613925.40020610683</v>
      </c>
      <c r="V149" s="36">
        <f t="shared" si="84"/>
        <v>3162.1418202061068</v>
      </c>
      <c r="W149" s="36">
        <f t="shared" si="85"/>
        <v>2649.9135000000001</v>
      </c>
      <c r="X149" s="230">
        <f t="shared" si="86"/>
        <v>3593.2179999999998</v>
      </c>
      <c r="Y149" s="43">
        <f t="shared" si="86"/>
        <v>3533.2179999999998</v>
      </c>
      <c r="Z149" s="250">
        <f t="shared" si="87"/>
        <v>431.07617979389306</v>
      </c>
      <c r="AA149" s="174">
        <f t="shared" si="88"/>
        <v>0</v>
      </c>
    </row>
    <row r="150" spans="1:27" s="118" customFormat="1" ht="9.9499999999999993" customHeight="1" x14ac:dyDescent="0.15">
      <c r="A150" s="142" t="s">
        <v>337</v>
      </c>
      <c r="B150" s="212">
        <v>1.1000000000000001</v>
      </c>
      <c r="C150" s="145">
        <f t="shared" si="79"/>
        <v>2265.5678036946565</v>
      </c>
      <c r="D150" s="260">
        <f t="shared" si="53"/>
        <v>2265567.8036946566</v>
      </c>
      <c r="E150" s="274">
        <f>44151.72+1785727.09</f>
        <v>1829878.81</v>
      </c>
      <c r="F150" s="196">
        <f t="shared" ref="F150:J157" si="94">G150/1000</f>
        <v>1729.25325</v>
      </c>
      <c r="G150" s="258">
        <f t="shared" si="80"/>
        <v>1729253.25</v>
      </c>
      <c r="H150" s="246">
        <f>L150-I150</f>
        <v>580671</v>
      </c>
      <c r="I150" s="200">
        <f>L150-580671</f>
        <v>1725000</v>
      </c>
      <c r="J150" s="230">
        <f t="shared" si="93"/>
        <v>2305.6709999999998</v>
      </c>
      <c r="K150" s="43">
        <f t="shared" si="56"/>
        <v>2305.6709999999998</v>
      </c>
      <c r="L150" s="200">
        <v>2305671</v>
      </c>
      <c r="M150" s="196">
        <f t="shared" si="91"/>
        <v>0</v>
      </c>
      <c r="N150" s="36"/>
      <c r="O150" s="43">
        <f t="shared" si="82"/>
        <v>0</v>
      </c>
      <c r="P150" s="251">
        <f t="shared" si="78"/>
        <v>0</v>
      </c>
      <c r="Q150" s="230">
        <f t="shared" si="92"/>
        <v>0</v>
      </c>
      <c r="R150" s="43">
        <f t="shared" si="83"/>
        <v>0</v>
      </c>
      <c r="S150" s="200"/>
      <c r="T150" s="266"/>
      <c r="U150" s="227">
        <f t="shared" ref="U150:U156" si="95">$U$8/$B$8*B150</f>
        <v>435688.99369465653</v>
      </c>
      <c r="V150" s="36">
        <f t="shared" si="84"/>
        <v>2265.5678036946565</v>
      </c>
      <c r="W150" s="36">
        <f t="shared" si="85"/>
        <v>1729.25325</v>
      </c>
      <c r="X150" s="230">
        <f>J150+Q150</f>
        <v>2305.6709999999998</v>
      </c>
      <c r="Y150" s="43">
        <f t="shared" si="86"/>
        <v>2305.6709999999998</v>
      </c>
      <c r="Z150" s="250">
        <f t="shared" si="87"/>
        <v>40.103196305343317</v>
      </c>
      <c r="AA150" s="174">
        <f t="shared" si="88"/>
        <v>0</v>
      </c>
    </row>
    <row r="151" spans="1:27" s="118" customFormat="1" ht="9" hidden="1" customHeight="1" x14ac:dyDescent="0.15">
      <c r="A151" s="147"/>
      <c r="B151" s="214"/>
      <c r="C151" s="140"/>
      <c r="D151" s="41">
        <f t="shared" si="53"/>
        <v>0</v>
      </c>
      <c r="E151" s="273"/>
      <c r="F151" s="195">
        <f t="shared" si="94"/>
        <v>0</v>
      </c>
      <c r="G151" s="258">
        <f t="shared" si="80"/>
        <v>0</v>
      </c>
      <c r="H151" s="246">
        <f t="shared" si="81"/>
        <v>0</v>
      </c>
      <c r="I151" s="200">
        <f t="shared" ref="I151:I155" si="96">L151</f>
        <v>0</v>
      </c>
      <c r="J151" s="230">
        <f t="shared" si="93"/>
        <v>0</v>
      </c>
      <c r="K151" s="41">
        <f t="shared" si="56"/>
        <v>0</v>
      </c>
      <c r="L151" s="198"/>
      <c r="M151" s="195">
        <f t="shared" si="91"/>
        <v>0</v>
      </c>
      <c r="N151" s="33"/>
      <c r="O151" s="41"/>
      <c r="P151" s="251">
        <f t="shared" si="78"/>
        <v>0</v>
      </c>
      <c r="Q151" s="231"/>
      <c r="R151" s="41"/>
      <c r="S151" s="198"/>
      <c r="T151" s="265"/>
      <c r="U151" s="210">
        <f t="shared" si="95"/>
        <v>0</v>
      </c>
      <c r="V151" s="33"/>
      <c r="W151" s="33"/>
      <c r="X151" s="230"/>
      <c r="Y151" s="41"/>
      <c r="Z151" s="250">
        <f t="shared" si="87"/>
        <v>0</v>
      </c>
      <c r="AA151" s="174">
        <f t="shared" si="88"/>
        <v>0</v>
      </c>
    </row>
    <row r="152" spans="1:27" s="179" customFormat="1" x14ac:dyDescent="0.15">
      <c r="A152" s="168" t="s">
        <v>87</v>
      </c>
      <c r="B152" s="216">
        <f>B153</f>
        <v>0.05</v>
      </c>
      <c r="C152" s="170">
        <f>D152/1000</f>
        <v>462.53625516793892</v>
      </c>
      <c r="D152" s="195">
        <f>E152+U152</f>
        <v>462536.25516793894</v>
      </c>
      <c r="E152" s="275">
        <f>SUM(E153:E156)</f>
        <v>442732.21</v>
      </c>
      <c r="F152" s="191">
        <f t="shared" si="94"/>
        <v>19.795500000000001</v>
      </c>
      <c r="G152" s="258">
        <f t="shared" si="80"/>
        <v>19795.5</v>
      </c>
      <c r="H152" s="256">
        <v>26394</v>
      </c>
      <c r="I152" s="198">
        <v>0</v>
      </c>
      <c r="J152" s="198">
        <f>J153</f>
        <v>900</v>
      </c>
      <c r="K152" s="191">
        <f t="shared" si="56"/>
        <v>26.393999999999998</v>
      </c>
      <c r="L152" s="191">
        <f>L153</f>
        <v>26394</v>
      </c>
      <c r="M152" s="191">
        <f t="shared" si="91"/>
        <v>-1776.61868</v>
      </c>
      <c r="N152" s="171">
        <f>N153</f>
        <v>0</v>
      </c>
      <c r="O152" s="171">
        <f>P152/1000*-1</f>
        <v>-2137.5</v>
      </c>
      <c r="P152" s="251">
        <f t="shared" si="78"/>
        <v>2137500</v>
      </c>
      <c r="Q152" s="191">
        <f>Q153</f>
        <v>-4500</v>
      </c>
      <c r="R152" s="171">
        <f>S152/1000*-1</f>
        <v>-2850</v>
      </c>
      <c r="S152" s="191">
        <f>S153</f>
        <v>2850000</v>
      </c>
      <c r="T152" s="201">
        <f>T153</f>
        <v>1776618.68</v>
      </c>
      <c r="U152" s="210">
        <f>SUM(U153)</f>
        <v>19804.045167938933</v>
      </c>
      <c r="V152" s="173">
        <f>C152+M152</f>
        <v>-1314.0824248320612</v>
      </c>
      <c r="W152" s="173">
        <f>F152+O152</f>
        <v>-2117.7044999999998</v>
      </c>
      <c r="X152" s="198">
        <f>J152+Q152</f>
        <v>-3600</v>
      </c>
      <c r="Y152" s="171">
        <f>K152+R152</f>
        <v>-2823.6060000000002</v>
      </c>
      <c r="Z152" s="250">
        <f t="shared" si="87"/>
        <v>437.46374483206108</v>
      </c>
      <c r="AA152" s="174">
        <f t="shared" si="88"/>
        <v>2723.38132</v>
      </c>
    </row>
    <row r="153" spans="1:27" s="117" customFormat="1" ht="9.75" customHeight="1" x14ac:dyDescent="0.15">
      <c r="A153" s="142" t="s">
        <v>338</v>
      </c>
      <c r="B153" s="212">
        <v>0.05</v>
      </c>
      <c r="C153" s="145">
        <f>D153/1000</f>
        <v>462.53625516793892</v>
      </c>
      <c r="D153" s="260">
        <f>E153+U153</f>
        <v>462536.25516793894</v>
      </c>
      <c r="E153" s="274">
        <f>21568.76+421163.45</f>
        <v>442732.21</v>
      </c>
      <c r="F153" s="196">
        <f t="shared" si="94"/>
        <v>19.795500000000001</v>
      </c>
      <c r="G153" s="258">
        <f t="shared" si="80"/>
        <v>19795.5</v>
      </c>
      <c r="H153" s="246">
        <v>26394</v>
      </c>
      <c r="I153" s="200">
        <v>0</v>
      </c>
      <c r="J153" s="230">
        <v>900</v>
      </c>
      <c r="K153" s="43">
        <f t="shared" si="56"/>
        <v>26.393999999999998</v>
      </c>
      <c r="L153" s="200">
        <v>26394</v>
      </c>
      <c r="M153" s="196">
        <f t="shared" si="91"/>
        <v>-1776.61868</v>
      </c>
      <c r="N153" s="36"/>
      <c r="O153" s="43">
        <f>P153/1000*-1</f>
        <v>-2137.5</v>
      </c>
      <c r="P153" s="251">
        <f t="shared" si="78"/>
        <v>2137500</v>
      </c>
      <c r="Q153" s="230">
        <v>-4500</v>
      </c>
      <c r="R153" s="43">
        <f>S153/1000*-1</f>
        <v>-2850</v>
      </c>
      <c r="S153" s="200">
        <v>2850000</v>
      </c>
      <c r="T153" s="266">
        <v>1776618.68</v>
      </c>
      <c r="U153" s="227">
        <f t="shared" si="95"/>
        <v>19804.045167938933</v>
      </c>
      <c r="V153" s="36">
        <f>C153+M153</f>
        <v>-1314.0824248320612</v>
      </c>
      <c r="W153" s="36">
        <f>F153+O153</f>
        <v>-2117.7044999999998</v>
      </c>
      <c r="X153" s="230">
        <f>J153+R153</f>
        <v>-1950</v>
      </c>
      <c r="Y153" s="43">
        <f>K153+R153</f>
        <v>-2823.6060000000002</v>
      </c>
      <c r="Z153" s="250">
        <f t="shared" si="87"/>
        <v>437.46374483206108</v>
      </c>
      <c r="AA153" s="174">
        <f t="shared" si="88"/>
        <v>2723.38132</v>
      </c>
    </row>
    <row r="154" spans="1:27" s="117" customFormat="1" ht="9" hidden="1" customHeight="1" x14ac:dyDescent="0.15">
      <c r="A154" s="142"/>
      <c r="B154" s="212"/>
      <c r="C154" s="145"/>
      <c r="D154" s="260">
        <f t="shared" ref="D154:D156" si="97">E154+U154</f>
        <v>0</v>
      </c>
      <c r="E154" s="274"/>
      <c r="F154" s="196">
        <f t="shared" si="94"/>
        <v>0</v>
      </c>
      <c r="G154" s="258">
        <f t="shared" si="80"/>
        <v>0</v>
      </c>
      <c r="H154" s="246">
        <f t="shared" si="81"/>
        <v>0</v>
      </c>
      <c r="I154" s="200">
        <f t="shared" si="96"/>
        <v>0</v>
      </c>
      <c r="J154" s="230"/>
      <c r="K154" s="43">
        <f t="shared" si="56"/>
        <v>0</v>
      </c>
      <c r="L154" s="200"/>
      <c r="M154" s="196">
        <f t="shared" si="91"/>
        <v>0</v>
      </c>
      <c r="N154" s="36"/>
      <c r="O154" s="43"/>
      <c r="P154" s="251">
        <f t="shared" si="78"/>
        <v>0</v>
      </c>
      <c r="Q154" s="230"/>
      <c r="R154" s="43"/>
      <c r="S154" s="200"/>
      <c r="T154" s="266"/>
      <c r="U154" s="227">
        <f t="shared" si="95"/>
        <v>0</v>
      </c>
      <c r="V154" s="36"/>
      <c r="W154" s="36"/>
      <c r="X154" s="230"/>
      <c r="Y154" s="43"/>
      <c r="Z154" s="250">
        <f t="shared" si="87"/>
        <v>0</v>
      </c>
      <c r="AA154" s="174">
        <f t="shared" si="88"/>
        <v>0</v>
      </c>
    </row>
    <row r="155" spans="1:27" s="189" customFormat="1" ht="9.75" hidden="1" customHeight="1" x14ac:dyDescent="0.15">
      <c r="A155" s="186" t="s">
        <v>119</v>
      </c>
      <c r="B155" s="217">
        <f>B156</f>
        <v>0</v>
      </c>
      <c r="C155" s="170"/>
      <c r="D155" s="260">
        <f t="shared" si="97"/>
        <v>0</v>
      </c>
      <c r="E155" s="273"/>
      <c r="F155" s="191">
        <f t="shared" si="94"/>
        <v>0</v>
      </c>
      <c r="G155" s="258">
        <f t="shared" si="80"/>
        <v>0</v>
      </c>
      <c r="H155" s="246">
        <f t="shared" si="81"/>
        <v>0</v>
      </c>
      <c r="I155" s="200">
        <f t="shared" si="96"/>
        <v>0</v>
      </c>
      <c r="J155" s="198"/>
      <c r="K155" s="191">
        <f t="shared" si="56"/>
        <v>0</v>
      </c>
      <c r="L155" s="198">
        <f>L156</f>
        <v>0</v>
      </c>
      <c r="M155" s="191">
        <f t="shared" si="91"/>
        <v>0</v>
      </c>
      <c r="N155" s="173"/>
      <c r="O155" s="171">
        <v>0</v>
      </c>
      <c r="P155" s="251">
        <f t="shared" si="78"/>
        <v>0</v>
      </c>
      <c r="Q155" s="198">
        <v>0</v>
      </c>
      <c r="R155" s="171">
        <v>0</v>
      </c>
      <c r="S155" s="198"/>
      <c r="T155" s="265"/>
      <c r="U155" s="210">
        <f t="shared" si="95"/>
        <v>0</v>
      </c>
      <c r="V155" s="173">
        <v>0</v>
      </c>
      <c r="W155" s="173">
        <v>0</v>
      </c>
      <c r="X155" s="198">
        <f>J155+Q155</f>
        <v>0</v>
      </c>
      <c r="Y155" s="171">
        <f>K155+R155</f>
        <v>0</v>
      </c>
      <c r="Z155" s="250">
        <f t="shared" si="87"/>
        <v>0</v>
      </c>
      <c r="AA155" s="174">
        <f t="shared" si="88"/>
        <v>0</v>
      </c>
    </row>
    <row r="156" spans="1:27" s="117" customFormat="1" x14ac:dyDescent="0.15">
      <c r="A156" s="142"/>
      <c r="B156" s="212"/>
      <c r="C156" s="145">
        <f>D156/1000</f>
        <v>0</v>
      </c>
      <c r="D156" s="260">
        <f t="shared" si="97"/>
        <v>0</v>
      </c>
      <c r="E156" s="274"/>
      <c r="F156" s="196">
        <f t="shared" si="94"/>
        <v>0</v>
      </c>
      <c r="G156" s="258">
        <f t="shared" si="80"/>
        <v>0</v>
      </c>
      <c r="H156" s="196">
        <f t="shared" si="94"/>
        <v>0</v>
      </c>
      <c r="I156" s="196">
        <f t="shared" si="94"/>
        <v>0</v>
      </c>
      <c r="J156" s="248">
        <f t="shared" si="94"/>
        <v>0</v>
      </c>
      <c r="K156" s="43">
        <f t="shared" si="56"/>
        <v>0</v>
      </c>
      <c r="L156" s="200"/>
      <c r="M156" s="196">
        <f t="shared" si="91"/>
        <v>0</v>
      </c>
      <c r="N156" s="36"/>
      <c r="O156" s="43">
        <f>P156/1000*-1</f>
        <v>0</v>
      </c>
      <c r="P156" s="251">
        <f t="shared" si="78"/>
        <v>0</v>
      </c>
      <c r="Q156" s="230">
        <v>0</v>
      </c>
      <c r="R156" s="43">
        <f>S156/1000*-1</f>
        <v>0</v>
      </c>
      <c r="S156" s="200"/>
      <c r="T156" s="266"/>
      <c r="U156" s="227">
        <f t="shared" si="95"/>
        <v>0</v>
      </c>
      <c r="V156" s="36">
        <f>C156+M156</f>
        <v>0</v>
      </c>
      <c r="W156" s="36">
        <f>F156+O156</f>
        <v>0</v>
      </c>
      <c r="X156" s="230">
        <f>J156+Q156</f>
        <v>0</v>
      </c>
      <c r="Y156" s="43">
        <v>0</v>
      </c>
      <c r="Z156" s="250">
        <f t="shared" si="87"/>
        <v>0</v>
      </c>
      <c r="AA156" s="174">
        <f t="shared" si="88"/>
        <v>0</v>
      </c>
    </row>
    <row r="157" spans="1:27" s="117" customFormat="1" x14ac:dyDescent="0.15">
      <c r="A157" s="147" t="s">
        <v>95</v>
      </c>
      <c r="B157" s="157">
        <f>B9+B41+B104+B130+B138+B144+B152</f>
        <v>65.5</v>
      </c>
      <c r="C157" s="140">
        <f>D157/1000</f>
        <v>61736.512659999993</v>
      </c>
      <c r="D157" s="288">
        <f>D144+D138+D130+D104+D41+D9+D152</f>
        <v>61736512.659999996</v>
      </c>
      <c r="E157" s="289">
        <f>E152+E144+E138+E130+E104+E41+E9+E155+E156</f>
        <v>35274656.440000005</v>
      </c>
      <c r="F157" s="195">
        <f t="shared" si="94"/>
        <v>59027.417999999998</v>
      </c>
      <c r="G157" s="258">
        <f t="shared" si="80"/>
        <v>59027418</v>
      </c>
      <c r="H157" s="246">
        <f>H152+H144+H138+H130+H9+H41+H104</f>
        <v>34576324</v>
      </c>
      <c r="I157" s="200">
        <f>I152+I144+I138+I130+I104+I41+I9</f>
        <v>44126900</v>
      </c>
      <c r="J157" s="232">
        <f>J144+J138+J104+J41+J9+J155+J130+J152</f>
        <v>79858.5</v>
      </c>
      <c r="K157" s="41">
        <f t="shared" si="56"/>
        <v>78703.224000000002</v>
      </c>
      <c r="L157" s="191">
        <f>L152+L144+L138+L130+L104+L41+L9+L155</f>
        <v>78703224</v>
      </c>
      <c r="M157" s="195">
        <f t="shared" si="91"/>
        <v>-55714.21688</v>
      </c>
      <c r="N157" s="158">
        <f>N152+N144+N138+N130+N104+N41</f>
        <v>0</v>
      </c>
      <c r="O157" s="41">
        <f>P157/1000*-1</f>
        <v>-59086.5</v>
      </c>
      <c r="P157" s="251">
        <f t="shared" si="78"/>
        <v>59086500</v>
      </c>
      <c r="Q157" s="232">
        <f>Q152+Q144+Q138+Q130+Q104+Q41+Q9</f>
        <v>-79882</v>
      </c>
      <c r="R157" s="41">
        <f>S157/1000*-1</f>
        <v>-78782</v>
      </c>
      <c r="S157" s="221">
        <f>S155+S152+S144+S138+S130+S104+S41+S9</f>
        <v>78782000</v>
      </c>
      <c r="T157" s="267">
        <f>T152+T144+T138+T130+T104+T41</f>
        <v>55714216.880000003</v>
      </c>
      <c r="U157" s="211">
        <f>U152+U144+U138+U130+U104+U41+U9</f>
        <v>25943299.170000002</v>
      </c>
      <c r="V157" s="33">
        <f>C157+M157</f>
        <v>6022.2957799999931</v>
      </c>
      <c r="W157" s="33">
        <f>F157+O157+1</f>
        <v>-58.082000000002154</v>
      </c>
      <c r="X157" s="231">
        <f>J157+Q157</f>
        <v>-23.5</v>
      </c>
      <c r="Y157" s="41">
        <f>K157+R157</f>
        <v>-78.775999999998021</v>
      </c>
      <c r="Z157" s="250">
        <f t="shared" si="87"/>
        <v>18121.987340000007</v>
      </c>
      <c r="AA157" s="174">
        <f t="shared" si="88"/>
        <v>24167.78312</v>
      </c>
    </row>
    <row r="158" spans="1:27" s="42" customFormat="1" x14ac:dyDescent="0.15">
      <c r="A158" s="163"/>
      <c r="B158" s="213"/>
      <c r="C158" s="121"/>
      <c r="D158" s="122"/>
      <c r="E158" s="270"/>
      <c r="F158" s="192"/>
      <c r="G158" s="192"/>
      <c r="H158" s="47"/>
      <c r="I158" s="197"/>
      <c r="J158" s="228"/>
      <c r="K158" s="47"/>
      <c r="L158" s="197"/>
      <c r="M158" s="225"/>
      <c r="N158" s="47"/>
      <c r="O158" s="47"/>
      <c r="P158" s="252"/>
      <c r="Q158" s="228"/>
      <c r="R158" s="47"/>
      <c r="S158" s="197"/>
      <c r="T158" s="261"/>
      <c r="U158" s="206"/>
      <c r="V158" s="47"/>
      <c r="W158" s="164"/>
      <c r="X158" s="237"/>
    </row>
    <row r="159" spans="1:27" s="42" customFormat="1" x14ac:dyDescent="0.15">
      <c r="A159" s="39"/>
      <c r="B159" s="213"/>
      <c r="C159" s="167"/>
      <c r="D159" s="122"/>
      <c r="E159" s="277"/>
      <c r="F159" s="192"/>
      <c r="G159" s="192"/>
      <c r="H159" s="47"/>
      <c r="I159" s="197"/>
      <c r="J159" s="228"/>
      <c r="K159" s="47"/>
      <c r="L159" s="197"/>
      <c r="M159" s="225"/>
      <c r="N159" s="47"/>
      <c r="O159" s="47"/>
      <c r="P159" s="252"/>
      <c r="Q159" s="228"/>
      <c r="R159" s="47"/>
      <c r="S159" s="197"/>
      <c r="T159" s="261"/>
      <c r="U159" s="206"/>
      <c r="V159" s="47"/>
      <c r="W159" s="164"/>
      <c r="X159" s="237"/>
    </row>
    <row r="160" spans="1:27" x14ac:dyDescent="0.15">
      <c r="B160" s="218"/>
      <c r="C160" s="167"/>
      <c r="D160" s="167"/>
      <c r="E160" s="278"/>
      <c r="F160" s="223"/>
      <c r="G160" s="223">
        <f t="shared" ref="G160:L160" si="98">Q158-G158</f>
        <v>0</v>
      </c>
      <c r="H160" s="167">
        <f t="shared" si="98"/>
        <v>0</v>
      </c>
      <c r="I160" s="202">
        <f t="shared" si="98"/>
        <v>0</v>
      </c>
      <c r="J160" s="233"/>
      <c r="K160" s="167"/>
      <c r="L160" s="202">
        <f t="shared" si="98"/>
        <v>0</v>
      </c>
      <c r="M160" s="223"/>
    </row>
    <row r="161" spans="1:24" s="42" customFormat="1" x14ac:dyDescent="0.15">
      <c r="A161" s="39"/>
      <c r="B161" s="218"/>
      <c r="C161" s="167"/>
      <c r="D161" s="122"/>
      <c r="E161" s="270"/>
      <c r="F161" s="192"/>
      <c r="G161" s="192"/>
      <c r="H161" s="47"/>
      <c r="I161" s="197"/>
      <c r="J161" s="228"/>
      <c r="K161" s="47"/>
      <c r="L161" s="197"/>
      <c r="M161" s="225"/>
      <c r="N161" s="47"/>
      <c r="O161" s="47"/>
      <c r="P161" s="252"/>
      <c r="Q161" s="228"/>
      <c r="R161" s="47"/>
      <c r="S161" s="197"/>
      <c r="T161" s="261"/>
      <c r="U161" s="206"/>
      <c r="V161" s="47"/>
      <c r="W161" s="164"/>
      <c r="X161" s="237"/>
    </row>
    <row r="162" spans="1:24" x14ac:dyDescent="0.15">
      <c r="M162" s="226"/>
    </row>
    <row r="166" spans="1:24" x14ac:dyDescent="0.15">
      <c r="A166" s="167"/>
    </row>
    <row r="168" spans="1:24" x14ac:dyDescent="0.15">
      <c r="A168" s="255"/>
    </row>
  </sheetData>
  <mergeCells count="4">
    <mergeCell ref="A4:W4"/>
    <mergeCell ref="C6:K6"/>
    <mergeCell ref="M6:R6"/>
    <mergeCell ref="V6:Y6"/>
  </mergeCells>
  <pageMargins left="0.94488188976377963" right="0.55118110236220474" top="1.1811023622047245" bottom="0" header="0" footer="0"/>
  <pageSetup paperSize="8" orientation="portrait" r:id="rId1"/>
  <headerFooter alignWithMargins="0">
    <oddFooter>&amp;R&amp;6&amp;Z&amp;F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8</vt:i4>
      </vt:variant>
    </vt:vector>
  </HeadingPairs>
  <TitlesOfParts>
    <vt:vector size="19" baseType="lpstr">
      <vt:lpstr>bje 20.10.09</vt:lpstr>
      <vt:lpstr>bje 21-10-09</vt:lpstr>
      <vt:lpstr>bje 22.10.09</vt:lpstr>
      <vt:lpstr>4. kvt 2010</vt:lpstr>
      <vt:lpstr>2010</vt:lpstr>
      <vt:lpstr>Ark2</vt:lpstr>
      <vt:lpstr>2.kvt.2012 </vt:lpstr>
      <vt:lpstr>3.kvt. 2012  </vt:lpstr>
      <vt:lpstr>Ark5</vt:lpstr>
      <vt:lpstr>2.KVT 2016 incl. ex freder</vt:lpstr>
      <vt:lpstr>Ark1</vt:lpstr>
      <vt:lpstr>'2.KVT 2016 incl. ex freder'!Udskriftsområde</vt:lpstr>
      <vt:lpstr>'2.kvt.2012 '!Udskriftsområde</vt:lpstr>
      <vt:lpstr>'2010'!Udskriftsområde</vt:lpstr>
      <vt:lpstr>'3.kvt. 2012  '!Udskriftsområde</vt:lpstr>
      <vt:lpstr>'4. kvt 2010'!Udskriftsområde</vt:lpstr>
      <vt:lpstr>'bje 20.10.09'!Udskriftsområde</vt:lpstr>
      <vt:lpstr>'bje 21-10-09'!Udskriftsområde</vt:lpstr>
      <vt:lpstr>'bje 22.10.09'!Udskriftsområde</vt:lpstr>
    </vt:vector>
  </TitlesOfParts>
  <Company>Danmarks Naturfredningsforening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dnu</dc:creator>
  <cp:lastModifiedBy>Bente Jerberg</cp:lastModifiedBy>
  <cp:lastPrinted>2016-08-25T11:06:25Z</cp:lastPrinted>
  <dcterms:created xsi:type="dcterms:W3CDTF">2009-07-02T08:54:22Z</dcterms:created>
  <dcterms:modified xsi:type="dcterms:W3CDTF">2016-08-25T11:51:27Z</dcterms:modified>
</cp:coreProperties>
</file>